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rnák (T)\Diáktorna\160528Kecskemét\"/>
    </mc:Choice>
  </mc:AlternateContent>
  <bookViews>
    <workbookView xWindow="0" yWindow="0" windowWidth="20490" windowHeight="9045"/>
  </bookViews>
  <sheets>
    <sheet name="U10 jó" sheetId="1" r:id="rId1"/>
    <sheet name="U16 jó" sheetId="5" r:id="rId2"/>
    <sheet name="U12 jó" sheetId="6" r:id="rId3"/>
    <sheet name="U14 jó" sheetId="7" r:id="rId4"/>
  </sheets>
  <externalReferences>
    <externalReference r:id="rId5"/>
  </externalReferences>
  <definedNames>
    <definedName name="MyClub">'[1]World Cup 2011'!$U$5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  <c r="AJ7" i="7" s="1"/>
  <c r="E8" i="7"/>
  <c r="AF7" i="7" s="1"/>
  <c r="AO7" i="7"/>
  <c r="AN7" i="7"/>
  <c r="AM7" i="7"/>
  <c r="AK7" i="7"/>
  <c r="AI7" i="7"/>
  <c r="AG7" i="7"/>
  <c r="I7" i="7"/>
  <c r="AJ6" i="7" s="1"/>
  <c r="E7" i="7"/>
  <c r="AF6" i="7" s="1"/>
  <c r="AO6" i="7"/>
  <c r="AN6" i="7"/>
  <c r="AM6" i="7"/>
  <c r="AK6" i="7"/>
  <c r="AI6" i="7"/>
  <c r="AG6" i="7"/>
  <c r="I6" i="7"/>
  <c r="AO5" i="7" s="1"/>
  <c r="E6" i="7"/>
  <c r="AN5" i="7" s="1"/>
  <c r="AM5" i="7"/>
  <c r="AL5" i="7"/>
  <c r="AK5" i="7"/>
  <c r="AI5" i="7"/>
  <c r="AH5" i="7"/>
  <c r="AG5" i="7"/>
  <c r="I5" i="7"/>
  <c r="AJ4" i="7" s="1"/>
  <c r="E5" i="7"/>
  <c r="AN4" i="7" s="1"/>
  <c r="AM4" i="7"/>
  <c r="AK4" i="7"/>
  <c r="AI4" i="7"/>
  <c r="AG4" i="7"/>
  <c r="I4" i="7"/>
  <c r="AL3" i="7" s="1"/>
  <c r="E4" i="7"/>
  <c r="AF3" i="7" s="1"/>
  <c r="AO3" i="7"/>
  <c r="AN3" i="7"/>
  <c r="AM3" i="7"/>
  <c r="AK3" i="7"/>
  <c r="AI3" i="7"/>
  <c r="AH3" i="7"/>
  <c r="AG3" i="7"/>
  <c r="I3" i="7"/>
  <c r="AJ2" i="7" s="1"/>
  <c r="E3" i="7"/>
  <c r="AH2" i="7" s="1"/>
  <c r="AO2" i="7"/>
  <c r="AN2" i="7"/>
  <c r="AM2" i="7"/>
  <c r="AL2" i="7"/>
  <c r="AK2" i="7"/>
  <c r="AI2" i="7"/>
  <c r="AG2" i="7"/>
  <c r="I12" i="6"/>
  <c r="AL11" i="6" s="1"/>
  <c r="E12" i="6"/>
  <c r="AO11" i="6"/>
  <c r="AN11" i="6"/>
  <c r="AM11" i="6"/>
  <c r="AK11" i="6"/>
  <c r="AI11" i="6"/>
  <c r="AH11" i="6"/>
  <c r="AG11" i="6"/>
  <c r="AF11" i="6"/>
  <c r="I11" i="6"/>
  <c r="AL10" i="6" s="1"/>
  <c r="E11" i="6"/>
  <c r="AH10" i="6" s="1"/>
  <c r="AO10" i="6"/>
  <c r="AN10" i="6"/>
  <c r="AM10" i="6"/>
  <c r="AK10" i="6"/>
  <c r="AI10" i="6"/>
  <c r="AG10" i="6"/>
  <c r="I10" i="6"/>
  <c r="AL9" i="6" s="1"/>
  <c r="E10" i="6"/>
  <c r="AH9" i="6" s="1"/>
  <c r="AO9" i="6"/>
  <c r="AN9" i="6"/>
  <c r="AM9" i="6"/>
  <c r="AK9" i="6"/>
  <c r="AI9" i="6"/>
  <c r="AG9" i="6"/>
  <c r="AF9" i="6"/>
  <c r="I9" i="6"/>
  <c r="AL8" i="6" s="1"/>
  <c r="E9" i="6"/>
  <c r="AO8" i="6"/>
  <c r="AN8" i="6"/>
  <c r="AM8" i="6"/>
  <c r="AK8" i="6"/>
  <c r="AI8" i="6"/>
  <c r="AH8" i="6"/>
  <c r="AG8" i="6"/>
  <c r="AF8" i="6"/>
  <c r="I8" i="6"/>
  <c r="AL7" i="6" s="1"/>
  <c r="E8" i="6"/>
  <c r="AO7" i="6"/>
  <c r="AN7" i="6"/>
  <c r="AM7" i="6"/>
  <c r="AK7" i="6"/>
  <c r="AI7" i="6"/>
  <c r="AH7" i="6"/>
  <c r="AG7" i="6"/>
  <c r="AF7" i="6"/>
  <c r="I7" i="6"/>
  <c r="AL6" i="6" s="1"/>
  <c r="E7" i="6"/>
  <c r="AO6" i="6"/>
  <c r="AN6" i="6"/>
  <c r="AM6" i="6"/>
  <c r="AK6" i="6"/>
  <c r="AI6" i="6"/>
  <c r="AH6" i="6"/>
  <c r="AG6" i="6"/>
  <c r="AF6" i="6"/>
  <c r="I6" i="6"/>
  <c r="AL5" i="6" s="1"/>
  <c r="E6" i="6"/>
  <c r="AO5" i="6"/>
  <c r="AN5" i="6"/>
  <c r="AM5" i="6"/>
  <c r="AK5" i="6"/>
  <c r="AI5" i="6"/>
  <c r="AH5" i="6"/>
  <c r="AG5" i="6"/>
  <c r="AF5" i="6"/>
  <c r="I5" i="6"/>
  <c r="AL4" i="6" s="1"/>
  <c r="E5" i="6"/>
  <c r="AH4" i="6" s="1"/>
  <c r="AO4" i="6"/>
  <c r="AN4" i="6"/>
  <c r="AM4" i="6"/>
  <c r="AK4" i="6"/>
  <c r="AI4" i="6"/>
  <c r="AG4" i="6"/>
  <c r="AF4" i="6"/>
  <c r="I4" i="6"/>
  <c r="AL3" i="6" s="1"/>
  <c r="E4" i="6"/>
  <c r="AO3" i="6"/>
  <c r="AN3" i="6"/>
  <c r="AM3" i="6"/>
  <c r="AK3" i="6"/>
  <c r="AI3" i="6"/>
  <c r="AH3" i="6"/>
  <c r="AG3" i="6"/>
  <c r="AF3" i="6"/>
  <c r="I3" i="6"/>
  <c r="AL2" i="6" s="1"/>
  <c r="E3" i="6"/>
  <c r="AO2" i="6"/>
  <c r="AN2" i="6"/>
  <c r="AM2" i="6"/>
  <c r="AK2" i="6"/>
  <c r="AI2" i="6"/>
  <c r="AH2" i="6"/>
  <c r="AG2" i="6"/>
  <c r="AF2" i="6"/>
  <c r="I12" i="5"/>
  <c r="AL11" i="5" s="1"/>
  <c r="E12" i="5"/>
  <c r="AH11" i="5" s="1"/>
  <c r="AO11" i="5"/>
  <c r="AN11" i="5"/>
  <c r="AM11" i="5"/>
  <c r="AK11" i="5"/>
  <c r="AJ11" i="5"/>
  <c r="AI11" i="5"/>
  <c r="AG11" i="5"/>
  <c r="I11" i="5"/>
  <c r="AL10" i="5" s="1"/>
  <c r="E11" i="5"/>
  <c r="AH10" i="5" s="1"/>
  <c r="AO10" i="5"/>
  <c r="AN10" i="5"/>
  <c r="AM10" i="5"/>
  <c r="AK10" i="5"/>
  <c r="AJ10" i="5"/>
  <c r="AI10" i="5"/>
  <c r="AG10" i="5"/>
  <c r="AF10" i="5"/>
  <c r="I10" i="5"/>
  <c r="AL9" i="5" s="1"/>
  <c r="E10" i="5"/>
  <c r="AF9" i="5" s="1"/>
  <c r="AO9" i="5"/>
  <c r="AN9" i="5"/>
  <c r="AM9" i="5"/>
  <c r="AK9" i="5"/>
  <c r="AJ9" i="5"/>
  <c r="AI9" i="5"/>
  <c r="AH9" i="5"/>
  <c r="AG9" i="5"/>
  <c r="I9" i="5"/>
  <c r="AL8" i="5" s="1"/>
  <c r="E9" i="5"/>
  <c r="AO8" i="5"/>
  <c r="AN8" i="5"/>
  <c r="AM8" i="5"/>
  <c r="AK8" i="5"/>
  <c r="AJ8" i="5"/>
  <c r="AI8" i="5"/>
  <c r="AH8" i="5"/>
  <c r="AG8" i="5"/>
  <c r="AF8" i="5"/>
  <c r="I8" i="5"/>
  <c r="AL7" i="5" s="1"/>
  <c r="E8" i="5"/>
  <c r="AF7" i="5" s="1"/>
  <c r="AO7" i="5"/>
  <c r="AN7" i="5"/>
  <c r="AM7" i="5"/>
  <c r="AK7" i="5"/>
  <c r="AJ7" i="5"/>
  <c r="AI7" i="5"/>
  <c r="AH7" i="5"/>
  <c r="AG7" i="5"/>
  <c r="I7" i="5"/>
  <c r="AL6" i="5" s="1"/>
  <c r="E7" i="5"/>
  <c r="AF6" i="5" s="1"/>
  <c r="AO6" i="5"/>
  <c r="AN6" i="5"/>
  <c r="AM6" i="5"/>
  <c r="AK6" i="5"/>
  <c r="AJ6" i="5"/>
  <c r="AI6" i="5"/>
  <c r="AH6" i="5"/>
  <c r="AG6" i="5"/>
  <c r="I6" i="5"/>
  <c r="AL5" i="5" s="1"/>
  <c r="E6" i="5"/>
  <c r="AO5" i="5"/>
  <c r="AN5" i="5"/>
  <c r="AM5" i="5"/>
  <c r="AK5" i="5"/>
  <c r="AI5" i="5"/>
  <c r="AH5" i="5"/>
  <c r="AG5" i="5"/>
  <c r="AF5" i="5"/>
  <c r="I5" i="5"/>
  <c r="AL4" i="5" s="1"/>
  <c r="E5" i="5"/>
  <c r="AH4" i="5" s="1"/>
  <c r="AO4" i="5"/>
  <c r="AN4" i="5"/>
  <c r="AM4" i="5"/>
  <c r="AK4" i="5"/>
  <c r="AI4" i="5"/>
  <c r="AG4" i="5"/>
  <c r="AF4" i="5"/>
  <c r="I4" i="5"/>
  <c r="AL3" i="5" s="1"/>
  <c r="E4" i="5"/>
  <c r="AO3" i="5"/>
  <c r="AN3" i="5"/>
  <c r="AM3" i="5"/>
  <c r="AK3" i="5"/>
  <c r="AI3" i="5"/>
  <c r="AH3" i="5"/>
  <c r="AG3" i="5"/>
  <c r="AF3" i="5"/>
  <c r="AL2" i="5"/>
  <c r="E3" i="5"/>
  <c r="AO2" i="5"/>
  <c r="AN2" i="5"/>
  <c r="AM2" i="5"/>
  <c r="AK2" i="5"/>
  <c r="AI2" i="5"/>
  <c r="AH2" i="5"/>
  <c r="AG2" i="5"/>
  <c r="AF2" i="5"/>
  <c r="I12" i="1"/>
  <c r="AL11" i="1" s="1"/>
  <c r="E12" i="1"/>
  <c r="AH11" i="1" s="1"/>
  <c r="AO11" i="1"/>
  <c r="AN11" i="1"/>
  <c r="AM11" i="1"/>
  <c r="AK11" i="1"/>
  <c r="AJ11" i="1"/>
  <c r="AI11" i="1"/>
  <c r="AG11" i="1"/>
  <c r="I11" i="1"/>
  <c r="AL10" i="1" s="1"/>
  <c r="E11" i="1"/>
  <c r="AH10" i="1" s="1"/>
  <c r="AO10" i="1"/>
  <c r="AN10" i="1"/>
  <c r="AM10" i="1"/>
  <c r="AK10" i="1"/>
  <c r="AJ10" i="1"/>
  <c r="AI10" i="1"/>
  <c r="AG10" i="1"/>
  <c r="AF10" i="1"/>
  <c r="I10" i="1"/>
  <c r="AL9" i="1" s="1"/>
  <c r="E10" i="1"/>
  <c r="AO9" i="1"/>
  <c r="AN9" i="1"/>
  <c r="AM9" i="1"/>
  <c r="AK9" i="1"/>
  <c r="AI9" i="1"/>
  <c r="AH9" i="1"/>
  <c r="AG9" i="1"/>
  <c r="AF9" i="1"/>
  <c r="I9" i="1"/>
  <c r="AL8" i="1" s="1"/>
  <c r="E9" i="1"/>
  <c r="AO8" i="1"/>
  <c r="AN8" i="1"/>
  <c r="AM8" i="1"/>
  <c r="AK8" i="1"/>
  <c r="AJ8" i="1"/>
  <c r="AI8" i="1"/>
  <c r="AH8" i="1"/>
  <c r="AG8" i="1"/>
  <c r="AF8" i="1"/>
  <c r="I8" i="1"/>
  <c r="AL7" i="1" s="1"/>
  <c r="E8" i="1"/>
  <c r="AF7" i="1" s="1"/>
  <c r="AO7" i="1"/>
  <c r="AN7" i="1"/>
  <c r="AM7" i="1"/>
  <c r="AK7" i="1"/>
  <c r="AJ7" i="1"/>
  <c r="AI7" i="1"/>
  <c r="AG7" i="1"/>
  <c r="I7" i="1"/>
  <c r="AJ6" i="1" s="1"/>
  <c r="E7" i="1"/>
  <c r="AF6" i="1" s="1"/>
  <c r="AO6" i="1"/>
  <c r="AN6" i="1"/>
  <c r="AM6" i="1"/>
  <c r="AK6" i="1"/>
  <c r="AI6" i="1"/>
  <c r="AG6" i="1"/>
  <c r="I6" i="1"/>
  <c r="AJ5" i="1" s="1"/>
  <c r="E6" i="1"/>
  <c r="AF5" i="1" s="1"/>
  <c r="AO5" i="1"/>
  <c r="AN5" i="1"/>
  <c r="AM5" i="1"/>
  <c r="AK5" i="1"/>
  <c r="AI5" i="1"/>
  <c r="AG5" i="1"/>
  <c r="I5" i="1"/>
  <c r="AJ4" i="1" s="1"/>
  <c r="E5" i="1"/>
  <c r="AF4" i="1" s="1"/>
  <c r="AO4" i="1"/>
  <c r="AN4" i="1"/>
  <c r="AM4" i="1"/>
  <c r="AL4" i="1"/>
  <c r="AK4" i="1"/>
  <c r="AI4" i="1"/>
  <c r="AH4" i="1"/>
  <c r="AG4" i="1"/>
  <c r="I4" i="1"/>
  <c r="AJ3" i="1" s="1"/>
  <c r="E4" i="1"/>
  <c r="AF3" i="1" s="1"/>
  <c r="AO3" i="1"/>
  <c r="AN3" i="1"/>
  <c r="AM3" i="1"/>
  <c r="AK3" i="1"/>
  <c r="AI3" i="1"/>
  <c r="AG3" i="1"/>
  <c r="I3" i="1"/>
  <c r="AJ2" i="1" s="1"/>
  <c r="E3" i="1"/>
  <c r="AF2" i="1" s="1"/>
  <c r="AO2" i="1"/>
  <c r="AN2" i="1"/>
  <c r="AM2" i="1"/>
  <c r="AK2" i="1"/>
  <c r="AI2" i="1"/>
  <c r="AG2" i="1"/>
  <c r="AL7" i="7" l="1"/>
  <c r="AJ3" i="7"/>
  <c r="AH4" i="7"/>
  <c r="AL6" i="7"/>
  <c r="AH6" i="7"/>
  <c r="AL4" i="7"/>
  <c r="AO4" i="7"/>
  <c r="W3" i="7" s="1"/>
  <c r="Y13" i="7"/>
  <c r="AH7" i="7"/>
  <c r="AA5" i="7" s="1"/>
  <c r="Y4" i="7"/>
  <c r="AF2" i="7"/>
  <c r="AF4" i="7"/>
  <c r="AF5" i="7"/>
  <c r="AJ5" i="7"/>
  <c r="Z12" i="7" s="1"/>
  <c r="X11" i="7"/>
  <c r="W4" i="7"/>
  <c r="Y4" i="6"/>
  <c r="AF10" i="6"/>
  <c r="Y7" i="6"/>
  <c r="Y3" i="6"/>
  <c r="X7" i="6"/>
  <c r="Y6" i="6"/>
  <c r="Y5" i="6"/>
  <c r="AA7" i="6"/>
  <c r="AA6" i="6"/>
  <c r="AA5" i="6"/>
  <c r="AA4" i="6"/>
  <c r="AA3" i="6"/>
  <c r="AJ2" i="6"/>
  <c r="AJ3" i="6"/>
  <c r="AJ4" i="6"/>
  <c r="AJ5" i="6"/>
  <c r="AJ6" i="6"/>
  <c r="AJ7" i="6"/>
  <c r="AJ9" i="6"/>
  <c r="AJ10" i="6"/>
  <c r="W4" i="6"/>
  <c r="W5" i="6"/>
  <c r="W6" i="6"/>
  <c r="W7" i="6"/>
  <c r="AJ8" i="6"/>
  <c r="AJ11" i="6"/>
  <c r="W3" i="6"/>
  <c r="X3" i="6"/>
  <c r="X4" i="6"/>
  <c r="X5" i="6"/>
  <c r="X6" i="6"/>
  <c r="Y7" i="5"/>
  <c r="AJ5" i="5"/>
  <c r="AF11" i="5"/>
  <c r="Y3" i="5"/>
  <c r="Y5" i="5"/>
  <c r="Y4" i="5"/>
  <c r="AA7" i="5"/>
  <c r="AA6" i="5"/>
  <c r="AA5" i="5"/>
  <c r="AA4" i="5"/>
  <c r="AA3" i="5"/>
  <c r="AJ4" i="5"/>
  <c r="W3" i="5"/>
  <c r="W4" i="5"/>
  <c r="W5" i="5"/>
  <c r="W6" i="5"/>
  <c r="W7" i="5"/>
  <c r="AJ2" i="5"/>
  <c r="AJ3" i="5"/>
  <c r="X3" i="5"/>
  <c r="X4" i="5"/>
  <c r="X5" i="5"/>
  <c r="X6" i="5"/>
  <c r="X7" i="5"/>
  <c r="Y6" i="5"/>
  <c r="AL3" i="1"/>
  <c r="AH6" i="1"/>
  <c r="Y7" i="1"/>
  <c r="Y5" i="1"/>
  <c r="AL5" i="1"/>
  <c r="AH7" i="1"/>
  <c r="AH5" i="1"/>
  <c r="AF11" i="1"/>
  <c r="AL2" i="1"/>
  <c r="AH2" i="1"/>
  <c r="AJ9" i="1"/>
  <c r="Z7" i="1"/>
  <c r="Z6" i="1"/>
  <c r="Z5" i="1"/>
  <c r="Z4" i="1"/>
  <c r="Z3" i="1"/>
  <c r="W5" i="1"/>
  <c r="W6" i="1"/>
  <c r="W7" i="1"/>
  <c r="W3" i="1"/>
  <c r="X3" i="1"/>
  <c r="AH3" i="1"/>
  <c r="X4" i="1"/>
  <c r="X5" i="1"/>
  <c r="X6" i="1"/>
  <c r="AL6" i="1"/>
  <c r="AA5" i="1" s="1"/>
  <c r="X7" i="1"/>
  <c r="W4" i="1"/>
  <c r="Y4" i="1"/>
  <c r="Y6" i="1"/>
  <c r="Y3" i="1"/>
  <c r="W13" i="7" l="1"/>
  <c r="X3" i="7"/>
  <c r="W5" i="7"/>
  <c r="Y5" i="7"/>
  <c r="X4" i="7"/>
  <c r="AB4" i="7" s="1"/>
  <c r="Y12" i="7"/>
  <c r="X13" i="7"/>
  <c r="AB13" i="7" s="1"/>
  <c r="W12" i="7"/>
  <c r="Y3" i="7"/>
  <c r="X5" i="7"/>
  <c r="Y11" i="7"/>
  <c r="X12" i="7"/>
  <c r="AB12" i="7" s="1"/>
  <c r="AC12" i="7" s="1"/>
  <c r="W11" i="7"/>
  <c r="AB11" i="7" s="1"/>
  <c r="AA12" i="7"/>
  <c r="AA4" i="7"/>
  <c r="AA3" i="7"/>
  <c r="AA13" i="7"/>
  <c r="AA11" i="7"/>
  <c r="Z5" i="7"/>
  <c r="Z4" i="7"/>
  <c r="Z11" i="7"/>
  <c r="Z3" i="7"/>
  <c r="AB3" i="7"/>
  <c r="Z13" i="7"/>
  <c r="AB7" i="6"/>
  <c r="AB3" i="6"/>
  <c r="AB5" i="6"/>
  <c r="AB4" i="6"/>
  <c r="Z4" i="6"/>
  <c r="Z3" i="6"/>
  <c r="AC3" i="6" s="1"/>
  <c r="Z7" i="6"/>
  <c r="AC7" i="6" s="1"/>
  <c r="Z6" i="6"/>
  <c r="Z5" i="6"/>
  <c r="AB6" i="6"/>
  <c r="AB4" i="5"/>
  <c r="AB7" i="5"/>
  <c r="AB3" i="5"/>
  <c r="Z5" i="5"/>
  <c r="Z3" i="5"/>
  <c r="Z7" i="5"/>
  <c r="AC7" i="5" s="1"/>
  <c r="Z6" i="5"/>
  <c r="Z4" i="5"/>
  <c r="AC4" i="5" s="1"/>
  <c r="AB6" i="5"/>
  <c r="AB5" i="5"/>
  <c r="AB4" i="1"/>
  <c r="AB3" i="1"/>
  <c r="AB7" i="1"/>
  <c r="AB5" i="1"/>
  <c r="AC5" i="1" s="1"/>
  <c r="AA4" i="1"/>
  <c r="AC4" i="1" s="1"/>
  <c r="AA3" i="1"/>
  <c r="AC3" i="1" s="1"/>
  <c r="AA6" i="1"/>
  <c r="AB6" i="1"/>
  <c r="AA7" i="1"/>
  <c r="AC5" i="6" l="1"/>
  <c r="AB5" i="7"/>
  <c r="AC5" i="7" s="1"/>
  <c r="AC4" i="7"/>
  <c r="AC3" i="7"/>
  <c r="AC11" i="7"/>
  <c r="AC13" i="7"/>
  <c r="AC4" i="6"/>
  <c r="AC6" i="6"/>
  <c r="U6" i="6" s="1"/>
  <c r="AC3" i="5"/>
  <c r="AC5" i="5"/>
  <c r="AC6" i="5"/>
  <c r="AC6" i="1"/>
  <c r="U3" i="1" s="1"/>
  <c r="AC7" i="1"/>
  <c r="U6" i="5" l="1"/>
  <c r="U5" i="7"/>
  <c r="U4" i="7"/>
  <c r="U13" i="7"/>
  <c r="U3" i="7"/>
  <c r="Q5" i="7" s="1"/>
  <c r="U11" i="7"/>
  <c r="U12" i="7"/>
  <c r="U5" i="6"/>
  <c r="U4" i="6"/>
  <c r="U7" i="6"/>
  <c r="U3" i="6"/>
  <c r="U3" i="5"/>
  <c r="U7" i="5"/>
  <c r="U5" i="5"/>
  <c r="U4" i="5"/>
  <c r="U7" i="1"/>
  <c r="U5" i="1"/>
  <c r="U6" i="1"/>
  <c r="M3" i="1" s="1"/>
  <c r="U4" i="1"/>
  <c r="N3" i="5" l="1"/>
  <c r="O3" i="7"/>
  <c r="O5" i="7"/>
  <c r="P3" i="7"/>
  <c r="S3" i="7"/>
  <c r="N4" i="7"/>
  <c r="O4" i="7"/>
  <c r="N3" i="7"/>
  <c r="P4" i="7"/>
  <c r="Q4" i="7"/>
  <c r="P5" i="7"/>
  <c r="S5" i="7"/>
  <c r="L4" i="7"/>
  <c r="I14" i="7" s="1"/>
  <c r="M4" i="7"/>
  <c r="N5" i="7"/>
  <c r="S4" i="7"/>
  <c r="L3" i="7"/>
  <c r="I17" i="7" s="1"/>
  <c r="G18" i="7" s="1"/>
  <c r="L5" i="7"/>
  <c r="I11" i="7" s="1"/>
  <c r="M3" i="7"/>
  <c r="M5" i="7"/>
  <c r="Q3" i="7"/>
  <c r="R5" i="7"/>
  <c r="S11" i="7"/>
  <c r="O11" i="7"/>
  <c r="Q10" i="7"/>
  <c r="M10" i="7"/>
  <c r="Q9" i="7"/>
  <c r="M9" i="7"/>
  <c r="P11" i="7"/>
  <c r="L11" i="7"/>
  <c r="E11" i="7" s="1"/>
  <c r="N10" i="7"/>
  <c r="N11" i="7"/>
  <c r="P10" i="7"/>
  <c r="R10" i="7" s="1"/>
  <c r="L10" i="7"/>
  <c r="E14" i="7" s="1"/>
  <c r="P9" i="7"/>
  <c r="R9" i="7" s="1"/>
  <c r="L9" i="7"/>
  <c r="E17" i="7" s="1"/>
  <c r="Q11" i="7"/>
  <c r="M11" i="7"/>
  <c r="S10" i="7"/>
  <c r="O10" i="7"/>
  <c r="S9" i="7"/>
  <c r="O9" i="7"/>
  <c r="N9" i="7"/>
  <c r="N7" i="6"/>
  <c r="N6" i="6"/>
  <c r="N5" i="6"/>
  <c r="N4" i="6"/>
  <c r="N3" i="6"/>
  <c r="P7" i="6"/>
  <c r="L7" i="6"/>
  <c r="P6" i="6"/>
  <c r="L6" i="6"/>
  <c r="P5" i="6"/>
  <c r="L5" i="6"/>
  <c r="S7" i="6"/>
  <c r="O7" i="6"/>
  <c r="S5" i="6"/>
  <c r="O5" i="6"/>
  <c r="Q7" i="6"/>
  <c r="M7" i="6"/>
  <c r="Q6" i="6"/>
  <c r="M6" i="6"/>
  <c r="Q5" i="6"/>
  <c r="M5" i="6"/>
  <c r="Q4" i="6"/>
  <c r="M4" i="6"/>
  <c r="Q3" i="6"/>
  <c r="M3" i="6"/>
  <c r="P4" i="6"/>
  <c r="R4" i="6" s="1"/>
  <c r="L4" i="6"/>
  <c r="P3" i="6"/>
  <c r="L3" i="6"/>
  <c r="G13" i="6" s="1"/>
  <c r="S6" i="6"/>
  <c r="O6" i="6"/>
  <c r="S4" i="6"/>
  <c r="O4" i="6"/>
  <c r="S3" i="6"/>
  <c r="O3" i="6"/>
  <c r="S3" i="5"/>
  <c r="O3" i="5"/>
  <c r="M3" i="5"/>
  <c r="L3" i="5"/>
  <c r="G13" i="5" s="1"/>
  <c r="Q3" i="5"/>
  <c r="P3" i="5"/>
  <c r="O3" i="1"/>
  <c r="S3" i="1"/>
  <c r="Q3" i="1"/>
  <c r="L3" i="1"/>
  <c r="G13" i="1" s="1"/>
  <c r="N3" i="1"/>
  <c r="P3" i="1"/>
  <c r="P7" i="1"/>
  <c r="S7" i="5"/>
  <c r="Q7" i="5"/>
  <c r="L4" i="5"/>
  <c r="N4" i="5"/>
  <c r="S5" i="5"/>
  <c r="L5" i="5"/>
  <c r="M5" i="5"/>
  <c r="M7" i="5"/>
  <c r="P7" i="5"/>
  <c r="O6" i="5"/>
  <c r="P5" i="5"/>
  <c r="Q5" i="5"/>
  <c r="L6" i="5"/>
  <c r="N5" i="5"/>
  <c r="S6" i="5"/>
  <c r="O4" i="5"/>
  <c r="M4" i="5"/>
  <c r="M6" i="5"/>
  <c r="P6" i="5"/>
  <c r="N6" i="5"/>
  <c r="O7" i="5"/>
  <c r="S4" i="5"/>
  <c r="P4" i="5"/>
  <c r="Q4" i="5"/>
  <c r="Q6" i="5"/>
  <c r="O5" i="5"/>
  <c r="L7" i="5"/>
  <c r="N7" i="5"/>
  <c r="Q5" i="1"/>
  <c r="O7" i="1"/>
  <c r="Q7" i="1"/>
  <c r="N7" i="1"/>
  <c r="O6" i="1"/>
  <c r="L4" i="1"/>
  <c r="L6" i="1"/>
  <c r="M6" i="1"/>
  <c r="N4" i="1"/>
  <c r="S7" i="1"/>
  <c r="P4" i="1"/>
  <c r="P6" i="1"/>
  <c r="Q4" i="1"/>
  <c r="N5" i="1"/>
  <c r="O5" i="1"/>
  <c r="O4" i="1"/>
  <c r="L5" i="1"/>
  <c r="L7" i="1"/>
  <c r="M4" i="1"/>
  <c r="S6" i="1"/>
  <c r="Q6" i="1"/>
  <c r="M5" i="1"/>
  <c r="M7" i="1"/>
  <c r="N6" i="1"/>
  <c r="S5" i="1"/>
  <c r="S4" i="1"/>
  <c r="P5" i="1"/>
  <c r="R6" i="6" l="1"/>
  <c r="R3" i="7"/>
  <c r="R4" i="7"/>
  <c r="R11" i="7"/>
  <c r="R7" i="5"/>
  <c r="R3" i="5"/>
  <c r="R3" i="6"/>
  <c r="R5" i="6"/>
  <c r="R7" i="6"/>
  <c r="R3" i="1"/>
  <c r="R5" i="1"/>
  <c r="R4" i="1"/>
  <c r="R7" i="1"/>
  <c r="R6" i="1"/>
  <c r="R4" i="5"/>
  <c r="R6" i="5"/>
  <c r="R5" i="5"/>
</calcChain>
</file>

<file path=xl/sharedStrings.xml><?xml version="1.0" encoding="utf-8"?>
<sst xmlns="http://schemas.openxmlformats.org/spreadsheetml/2006/main" count="227" uniqueCount="59">
  <si>
    <t>Játékvezető</t>
  </si>
  <si>
    <t>vitt</t>
  </si>
  <si>
    <t>kapott</t>
  </si>
  <si>
    <t>Csapat</t>
  </si>
  <si>
    <t>Gy</t>
  </si>
  <si>
    <t>D</t>
  </si>
  <si>
    <t>V</t>
  </si>
  <si>
    <t>Pnt</t>
  </si>
  <si>
    <t>Place</t>
  </si>
  <si>
    <t>Win</t>
  </si>
  <si>
    <t>Draw</t>
  </si>
  <si>
    <t>Lose</t>
  </si>
  <si>
    <t>F</t>
  </si>
  <si>
    <t>A</t>
  </si>
  <si>
    <t>R</t>
  </si>
  <si>
    <t>2016. május 28.</t>
  </si>
  <si>
    <t>kecskeméti forduló győztese:</t>
  </si>
  <si>
    <t>Arany János Református Ált.Isk.</t>
  </si>
  <si>
    <t>Lycée Francais</t>
  </si>
  <si>
    <t>Vörösmarty M. Ált. Isk.</t>
  </si>
  <si>
    <t>Béke utcai Ált. Isk.</t>
  </si>
  <si>
    <t>István király Ált. Isk.</t>
  </si>
  <si>
    <t>A csoport</t>
  </si>
  <si>
    <t>B csoport</t>
  </si>
  <si>
    <t>5-6. hely</t>
  </si>
  <si>
    <t>3-4. hely</t>
  </si>
  <si>
    <t>1-2. hely</t>
  </si>
  <si>
    <t>kecskeméti forduló U10</t>
  </si>
  <si>
    <t>kecskeméti forduló U12</t>
  </si>
  <si>
    <t>Mátyás Király Ált Isk Kmét</t>
  </si>
  <si>
    <t>kecskeméti forduló U14</t>
  </si>
  <si>
    <t>kecskeméti forduló U16</t>
  </si>
  <si>
    <t>Kós Károly Szakképzőisk Érd</t>
  </si>
  <si>
    <t>Gedói Ált Isk Szeged</t>
  </si>
  <si>
    <t>Szent Erzsébet Ált Isk Egom</t>
  </si>
  <si>
    <t>Hungária Általános Iskola Bp</t>
  </si>
  <si>
    <t>Rókus 1 Szeged</t>
  </si>
  <si>
    <t>Táncsics Szfvár</t>
  </si>
  <si>
    <t>Bólyai Érd</t>
  </si>
  <si>
    <t>Vitéz János Egom</t>
  </si>
  <si>
    <t>Lycée Francais Bp</t>
  </si>
  <si>
    <t>Mátyás Király kmét</t>
  </si>
  <si>
    <t>Vitéz J Egom</t>
  </si>
  <si>
    <t>Tabán Szeged</t>
  </si>
  <si>
    <t>Nemeskócsag Pákozd</t>
  </si>
  <si>
    <t>Zöld Liget Velence</t>
  </si>
  <si>
    <t>IV. pálya</t>
  </si>
  <si>
    <t>III.1. pálya</t>
  </si>
  <si>
    <t>III.2. pálya</t>
  </si>
  <si>
    <t>Tolnai</t>
  </si>
  <si>
    <t>III.3. pálya</t>
  </si>
  <si>
    <t>Jánosi</t>
  </si>
  <si>
    <t>Tompai</t>
  </si>
  <si>
    <t>Bőhm</t>
  </si>
  <si>
    <t>Mátrai</t>
  </si>
  <si>
    <t>Törőcsik</t>
  </si>
  <si>
    <t>Láng</t>
  </si>
  <si>
    <t>Mohai</t>
  </si>
  <si>
    <t>Márton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</si>
</sst>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:mm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8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165" fontId="0" fillId="0" borderId="9" xfId="0" applyNumberFormat="1" applyBorder="1"/>
    <xf numFmtId="0" fontId="0" fillId="4" borderId="10" xfId="0" applyFill="1" applyBorder="1"/>
    <xf numFmtId="0" fontId="0" fillId="4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Border="1"/>
    <xf numFmtId="165" fontId="0" fillId="0" borderId="13" xfId="0" applyNumberFormat="1" applyBorder="1"/>
    <xf numFmtId="0" fontId="0" fillId="4" borderId="8" xfId="0" applyFill="1" applyBorder="1"/>
    <xf numFmtId="0" fontId="0" fillId="4" borderId="8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164" fontId="0" fillId="3" borderId="0" xfId="0" applyNumberFormat="1" applyFont="1" applyFill="1" applyBorder="1"/>
    <xf numFmtId="165" fontId="0" fillId="3" borderId="0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1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Users/Ben/Desktop/szeged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Settings"/>
      <sheetName val="World Cup 2011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17"/>
  <sheetViews>
    <sheetView tabSelected="1" workbookViewId="0">
      <selection activeCell="G13" sqref="G13:J14"/>
    </sheetView>
  </sheetViews>
  <sheetFormatPr defaultColWidth="8.85546875" defaultRowHeight="15" x14ac:dyDescent="0.25"/>
  <cols>
    <col min="1" max="1" width="3" bestFit="1" customWidth="1"/>
    <col min="2" max="2" width="24" bestFit="1" customWidth="1"/>
    <col min="3" max="3" width="5.42578125" bestFit="1" customWidth="1"/>
    <col min="4" max="4" width="10.85546875" bestFit="1" customWidth="1"/>
    <col min="7" max="8" width="3" bestFit="1" customWidth="1"/>
    <col min="10" max="10" width="20.42578125" customWidth="1"/>
    <col min="11" max="11" width="11.5703125" bestFit="1" customWidth="1"/>
    <col min="12" max="12" width="29.28515625" bestFit="1" customWidth="1"/>
    <col min="21" max="21" width="5" bestFit="1" customWidth="1"/>
    <col min="22" max="22" width="13.140625" customWidth="1"/>
    <col min="23" max="23" width="4.140625" bestFit="1" customWidth="1"/>
    <col min="24" max="24" width="5.140625" bestFit="1" customWidth="1"/>
    <col min="25" max="25" width="4.42578125" bestFit="1" customWidth="1"/>
    <col min="26" max="27" width="3" bestFit="1" customWidth="1"/>
    <col min="28" max="28" width="3.7109375" bestFit="1" customWidth="1"/>
    <col min="29" max="29" width="11" bestFit="1" customWidth="1"/>
  </cols>
  <sheetData>
    <row r="1" spans="1:41" x14ac:dyDescent="0.25">
      <c r="A1" s="54" t="s">
        <v>27</v>
      </c>
      <c r="B1" s="55"/>
      <c r="C1" s="55"/>
      <c r="D1" s="55"/>
      <c r="E1" s="55"/>
      <c r="F1" s="55"/>
      <c r="G1" s="55"/>
      <c r="H1" s="55"/>
      <c r="I1" s="55"/>
      <c r="J1" s="56"/>
      <c r="K1" s="60" t="s">
        <v>0</v>
      </c>
      <c r="AF1" s="61" t="s">
        <v>1</v>
      </c>
      <c r="AG1" s="61"/>
      <c r="AH1" s="61" t="s">
        <v>2</v>
      </c>
      <c r="AI1" s="61"/>
      <c r="AJ1" s="61" t="s">
        <v>1</v>
      </c>
      <c r="AK1" s="61"/>
      <c r="AL1" s="61" t="s">
        <v>2</v>
      </c>
      <c r="AM1" s="61"/>
    </row>
    <row r="2" spans="1:41" ht="15.75" thickBot="1" x14ac:dyDescent="0.3">
      <c r="A2" s="57"/>
      <c r="B2" s="58"/>
      <c r="C2" s="58"/>
      <c r="D2" s="58"/>
      <c r="E2" s="58"/>
      <c r="F2" s="58"/>
      <c r="G2" s="58"/>
      <c r="H2" s="58"/>
      <c r="I2" s="58"/>
      <c r="J2" s="59"/>
      <c r="K2" s="60"/>
      <c r="L2" s="1" t="s">
        <v>3</v>
      </c>
      <c r="M2" s="1" t="s">
        <v>4</v>
      </c>
      <c r="N2" s="1" t="s">
        <v>5</v>
      </c>
      <c r="O2" s="1" t="s">
        <v>6</v>
      </c>
      <c r="P2" s="1"/>
      <c r="Q2" s="1"/>
      <c r="R2" s="1"/>
      <c r="S2" s="1" t="s">
        <v>7</v>
      </c>
      <c r="U2" s="2" t="s">
        <v>8</v>
      </c>
      <c r="V2" s="2"/>
      <c r="W2" s="2" t="s">
        <v>9</v>
      </c>
      <c r="X2" s="2" t="s">
        <v>10</v>
      </c>
      <c r="Y2" s="2" t="s">
        <v>11</v>
      </c>
      <c r="Z2" s="2" t="s">
        <v>12</v>
      </c>
      <c r="AA2" s="2" t="s">
        <v>13</v>
      </c>
      <c r="AB2" s="2" t="s">
        <v>7</v>
      </c>
      <c r="AC2" s="2" t="s">
        <v>14</v>
      </c>
      <c r="AF2" s="2" t="str">
        <f>E3</f>
        <v>Lycée Francais</v>
      </c>
      <c r="AG2">
        <f>G3</f>
        <v>10</v>
      </c>
      <c r="AH2" s="3" t="str">
        <f>E3</f>
        <v>Lycée Francais</v>
      </c>
      <c r="AI2">
        <f>H3</f>
        <v>5</v>
      </c>
      <c r="AJ2" s="3" t="str">
        <f>I3</f>
        <v>Arany János Református Ált.Isk.</v>
      </c>
      <c r="AK2">
        <f>H3</f>
        <v>5</v>
      </c>
      <c r="AL2" s="3" t="str">
        <f>I3</f>
        <v>Arany János Református Ált.Isk.</v>
      </c>
      <c r="AM2">
        <f>G3</f>
        <v>10</v>
      </c>
      <c r="AN2" t="str">
        <f>IF(G3="","",IF(H3="","",IF(G3&gt;H3,CONCATENATE(E3,"_win"),IF(G3&lt;H3,CONCATENATE(E3,"_lose"),CONCATENATE(E3,"_draw")))))</f>
        <v>Lycée Francais_win</v>
      </c>
      <c r="AO2" t="str">
        <f>IF(G3="","",IF(H3="","",IF(G3&gt;H3,CONCATENATE(I3,"_lose"),IF(G3&lt;H3,CONCATENATE(I3,"_win"),CONCATENATE(I3,"_draw")))))</f>
        <v>Arany János Református Ált.Isk._lose</v>
      </c>
    </row>
    <row r="3" spans="1:41" x14ac:dyDescent="0.25">
      <c r="A3" s="4">
        <v>1</v>
      </c>
      <c r="B3" s="5" t="s">
        <v>15</v>
      </c>
      <c r="C3" s="6">
        <v>0.41666666666666669</v>
      </c>
      <c r="D3" s="4" t="s">
        <v>47</v>
      </c>
      <c r="E3" s="51" t="str">
        <f>V3</f>
        <v>Lycée Francais</v>
      </c>
      <c r="F3" s="51"/>
      <c r="G3" s="7">
        <v>10</v>
      </c>
      <c r="H3" s="8">
        <v>5</v>
      </c>
      <c r="I3" s="52" t="str">
        <f>V4</f>
        <v>Arany János Református Ált.Isk.</v>
      </c>
      <c r="J3" s="53"/>
      <c r="K3" t="s">
        <v>52</v>
      </c>
      <c r="L3" s="9" t="str">
        <f>VLOOKUP(1,$U$3:$AB$7,2,FALSE)</f>
        <v>Lycée Francais</v>
      </c>
      <c r="M3" s="9">
        <f>VLOOKUP(1,$U$3:$AB$7,3,FALSE)</f>
        <v>4</v>
      </c>
      <c r="N3" s="9">
        <f>VLOOKUP(1,$U$3:$AB$7,4,FALSE)</f>
        <v>0</v>
      </c>
      <c r="O3" s="9">
        <f>VLOOKUP(1,$U$3:$AB$7,5,FALSE)</f>
        <v>0</v>
      </c>
      <c r="P3" s="9">
        <f>VLOOKUP(1,$U$3:$AB$7,6,FALSE)</f>
        <v>110</v>
      </c>
      <c r="Q3" s="9">
        <f>VLOOKUP(1,$U$3:$AB$7,7,FALSE)</f>
        <v>40</v>
      </c>
      <c r="R3" s="9">
        <f>P3-Q3</f>
        <v>70</v>
      </c>
      <c r="S3" s="9">
        <f>VLOOKUP(1,$U$3:$AB$7,8,FALSE)</f>
        <v>16</v>
      </c>
      <c r="U3" s="2">
        <f>IF(AC3&lt;AC3,1,0)+IF(AC3&lt;AC4,1,0)+IF(AC3&lt;AC5,1,0)+IF(AC3&lt;AC6,1,0)+IF(AC3&lt;AC7,1,0)+1</f>
        <v>1</v>
      </c>
      <c r="V3" s="10" t="s">
        <v>18</v>
      </c>
      <c r="W3" s="11">
        <f>COUNTIF($AN$2:$AO$11,CONCATENATE(V3,"_win"))</f>
        <v>4</v>
      </c>
      <c r="X3" s="11">
        <f>COUNTIF($AN$2:$AO$11,CONCATENATE(V3,"_draw"))</f>
        <v>0</v>
      </c>
      <c r="Y3" s="11">
        <f>COUNTIF($AN$2:$AO$11,CONCATENATE(V3,"_lose"))</f>
        <v>0</v>
      </c>
      <c r="Z3" s="11">
        <f>SUMIF($AJ$2:$AJ$11,CONCATENATE("=",V3),$AK$2:$AK$11)+SUMIF($AF$2:$AF$11,CONCATENATE("=",V3),$AG$2:$AG$11)</f>
        <v>110</v>
      </c>
      <c r="AA3" s="11">
        <f>SUMIF($AL$2:$AL$11,CONCATENATE("=",V3),$AM$2:$AM$11)+SUMIF($AH$2:$AH$11,CONCATENATE("=",V3),$AI$2:$AI$11)</f>
        <v>40</v>
      </c>
      <c r="AB3" s="11">
        <f>W3*4+X3*2</f>
        <v>16</v>
      </c>
      <c r="AC3">
        <f>0.5+Z3+(Z3-AA3)*100+W3*1000+AB3*10000000</f>
        <v>160011110.5</v>
      </c>
      <c r="AF3" s="2" t="str">
        <f>E4</f>
        <v>Vörösmarty M. Ált. Isk.</v>
      </c>
      <c r="AG3">
        <f t="shared" ref="AG3:AG11" si="0">G4</f>
        <v>15</v>
      </c>
      <c r="AH3" s="3" t="str">
        <f t="shared" ref="AH3:AH11" si="1">E4</f>
        <v>Vörösmarty M. Ált. Isk.</v>
      </c>
      <c r="AI3">
        <f t="shared" ref="AI3:AJ11" si="2">H4</f>
        <v>40</v>
      </c>
      <c r="AJ3" s="3" t="str">
        <f t="shared" si="2"/>
        <v>Béke utcai Ált. Isk.</v>
      </c>
      <c r="AK3">
        <f t="shared" ref="AK3:AL11" si="3">H4</f>
        <v>40</v>
      </c>
      <c r="AL3" s="3" t="str">
        <f t="shared" si="3"/>
        <v>Béke utcai Ált. Isk.</v>
      </c>
      <c r="AM3">
        <f t="shared" ref="AM3:AM11" si="4">G4</f>
        <v>15</v>
      </c>
      <c r="AN3" t="str">
        <f t="shared" ref="AN3:AN11" si="5">IF(G4="","",IF(H4="","",IF(G4&gt;H4,CONCATENATE(E4,"_win"),IF(G4&lt;H4,CONCATENATE(E4,"_lose"),CONCATENATE(E4,"_draw")))))</f>
        <v>Vörösmarty M. Ált. Isk._lose</v>
      </c>
      <c r="AO3" t="str">
        <f t="shared" ref="AO3:AO11" si="6">IF(G4="","",IF(H4="","",IF(G4&gt;H4,CONCATENATE(I4,"_lose"),IF(G4&lt;H4,CONCATENATE(I4,"_win"),CONCATENATE(I4,"_draw")))))</f>
        <v>Béke utcai Ált. Isk._win</v>
      </c>
    </row>
    <row r="4" spans="1:41" x14ac:dyDescent="0.25">
      <c r="A4" s="12">
        <v>2</v>
      </c>
      <c r="B4" s="13" t="s">
        <v>15</v>
      </c>
      <c r="C4" s="14">
        <v>0.43055555555555558</v>
      </c>
      <c r="D4" s="12" t="s">
        <v>47</v>
      </c>
      <c r="E4" s="50" t="str">
        <f>V5</f>
        <v>Vörösmarty M. Ált. Isk.</v>
      </c>
      <c r="F4" s="50"/>
      <c r="G4" s="15">
        <v>15</v>
      </c>
      <c r="H4" s="8">
        <v>40</v>
      </c>
      <c r="I4" s="48" t="str">
        <f>V6</f>
        <v>Béke utcai Ált. Isk.</v>
      </c>
      <c r="J4" s="49"/>
      <c r="K4" t="s">
        <v>52</v>
      </c>
      <c r="L4" s="9" t="str">
        <f>VLOOKUP(2,$U$3:$AB$7,2,FALSE)</f>
        <v>Arany János Református Ált.Isk.</v>
      </c>
      <c r="M4" s="9">
        <f>VLOOKUP(2,$U$3:$AB$7,3,FALSE)</f>
        <v>3</v>
      </c>
      <c r="N4" s="9">
        <f>VLOOKUP(2,$U$3:$AB$7,4,FALSE)</f>
        <v>0</v>
      </c>
      <c r="O4" s="9">
        <f>VLOOKUP(2,$U$3:$AB$7,5,FALSE)</f>
        <v>1</v>
      </c>
      <c r="P4" s="9">
        <f>VLOOKUP(2,$U$3:$AB$7,6,FALSE)</f>
        <v>80</v>
      </c>
      <c r="Q4" s="9">
        <f>VLOOKUP(2,$U$3:$AB$7,7,FALSE)</f>
        <v>40</v>
      </c>
      <c r="R4" s="9">
        <f t="shared" ref="R4:R7" si="7">P4-Q4</f>
        <v>40</v>
      </c>
      <c r="S4" s="9">
        <f>VLOOKUP(2,$U$3:$AB$7,8,FALSE)</f>
        <v>12</v>
      </c>
      <c r="U4" s="2">
        <f>IF(AC4&lt;AC4,1,0)+IF(AC4&lt;AC3,1,0)+IF(AC4&lt;AC5,1,0)+IF(AC4&lt;AC6,1,0)+IF(AC4&lt;AC7,1,0)+1</f>
        <v>2</v>
      </c>
      <c r="V4" s="10" t="s">
        <v>17</v>
      </c>
      <c r="W4" s="11">
        <f>COUNTIF($AN$2:$AO$11,CONCATENATE(V4,"_win"))</f>
        <v>3</v>
      </c>
      <c r="X4" s="11">
        <f>COUNTIF($AN$2:$AO$11,CONCATENATE(V4,"_draw"))</f>
        <v>0</v>
      </c>
      <c r="Y4" s="11">
        <f>COUNTIF($AN$2:$AO$11,CONCATENATE(V4,"_lose"))</f>
        <v>1</v>
      </c>
      <c r="Z4" s="11">
        <f t="shared" ref="Z4:Z7" si="8">SUMIF($AJ$2:$AJ$11,CONCATENATE("=",V4),$AK$2:$AK$11)+SUMIF($AF$2:$AF$11,CONCATENATE("=",V4),$AG$2:$AG$11)</f>
        <v>80</v>
      </c>
      <c r="AA4" s="11">
        <f t="shared" ref="AA4:AA7" si="9">SUMIF($AL$2:$AL$11,CONCATENATE("=",V4),$AM$2:$AM$11)+SUMIF($AH$2:$AH$11,CONCATENATE("=",V4),$AI$2:$AI$11)</f>
        <v>40</v>
      </c>
      <c r="AB4" s="11">
        <f t="shared" ref="AB4:AB7" si="10">W4*4+X4*2</f>
        <v>12</v>
      </c>
      <c r="AC4">
        <f>0.4+Z4+(Z4-AA4)*100+W4*1000+AB4*10000000</f>
        <v>120007080.40000001</v>
      </c>
      <c r="AF4" s="2" t="str">
        <f t="shared" ref="AF4:AF7" si="11">E5</f>
        <v>István király Ált. Isk.</v>
      </c>
      <c r="AG4">
        <f t="shared" si="0"/>
        <v>5</v>
      </c>
      <c r="AH4" s="3" t="str">
        <f t="shared" si="1"/>
        <v>István király Ált. Isk.</v>
      </c>
      <c r="AI4">
        <f t="shared" si="2"/>
        <v>40</v>
      </c>
      <c r="AJ4" s="3" t="str">
        <f t="shared" si="2"/>
        <v>Lycée Francais</v>
      </c>
      <c r="AK4">
        <f t="shared" si="3"/>
        <v>40</v>
      </c>
      <c r="AL4" s="3" t="str">
        <f t="shared" si="3"/>
        <v>Lycée Francais</v>
      </c>
      <c r="AM4">
        <f t="shared" si="4"/>
        <v>5</v>
      </c>
      <c r="AN4" t="str">
        <f t="shared" si="5"/>
        <v>István király Ált. Isk._lose</v>
      </c>
      <c r="AO4" t="str">
        <f t="shared" si="6"/>
        <v>Lycée Francais_win</v>
      </c>
    </row>
    <row r="5" spans="1:41" x14ac:dyDescent="0.25">
      <c r="A5" s="12">
        <v>3</v>
      </c>
      <c r="B5" s="13" t="s">
        <v>15</v>
      </c>
      <c r="C5" s="14">
        <v>0.44444444444444398</v>
      </c>
      <c r="D5" s="12" t="s">
        <v>47</v>
      </c>
      <c r="E5" s="50" t="str">
        <f>V7</f>
        <v>István király Ált. Isk.</v>
      </c>
      <c r="F5" s="50"/>
      <c r="G5" s="7">
        <v>5</v>
      </c>
      <c r="H5" s="16">
        <v>40</v>
      </c>
      <c r="I5" s="48" t="str">
        <f>V3</f>
        <v>Lycée Francais</v>
      </c>
      <c r="J5" s="49"/>
      <c r="K5" t="s">
        <v>56</v>
      </c>
      <c r="L5" s="9" t="str">
        <f>VLOOKUP(3,$U$3:$AB$7,2,FALSE)</f>
        <v>Béke utcai Ált. Isk.</v>
      </c>
      <c r="M5" s="9">
        <f>VLOOKUP(3,$U$3:$AB$7,3,FALSE)</f>
        <v>2</v>
      </c>
      <c r="N5" s="9">
        <f>VLOOKUP(3,$U$3:$AB$7,4,FALSE)</f>
        <v>0</v>
      </c>
      <c r="O5" s="9">
        <f>VLOOKUP(3,$U$3:$AB$7,5,FALSE)</f>
        <v>2</v>
      </c>
      <c r="P5" s="9">
        <f>VLOOKUP(3,$U$3:$AB$7,6,FALSE)</f>
        <v>95</v>
      </c>
      <c r="Q5" s="9">
        <f>VLOOKUP(3,$U$3:$AB$7,7,FALSE)</f>
        <v>75</v>
      </c>
      <c r="R5" s="9">
        <f>P5-Q5</f>
        <v>20</v>
      </c>
      <c r="S5" s="9">
        <f>VLOOKUP(3,$U$3:$AB$7,8,FALSE)</f>
        <v>8</v>
      </c>
      <c r="U5" s="2">
        <f>IF(AC5&lt;AC5,1,0)+IF(AC5&lt;AC3,1,0)+IF(AC5&lt;AC4,1,0)+IF(AC5&lt;AC6,1,0)+IF(AC5&lt;AC7,1,0)+1</f>
        <v>4</v>
      </c>
      <c r="V5" s="10" t="s">
        <v>19</v>
      </c>
      <c r="W5" s="11">
        <f>COUNTIF($AN$2:$AO$11,CONCATENATE(V5,"_win"))</f>
        <v>1</v>
      </c>
      <c r="X5" s="11">
        <f>COUNTIF($AN$2:$AO$11,CONCATENATE(V5,"_draw"))</f>
        <v>0</v>
      </c>
      <c r="Y5" s="11">
        <f>COUNTIF($AN$2:$AO$11,CONCATENATE(V5,"_lose"))</f>
        <v>3</v>
      </c>
      <c r="Z5" s="11">
        <f t="shared" si="8"/>
        <v>55</v>
      </c>
      <c r="AA5" s="11">
        <f t="shared" si="9"/>
        <v>110</v>
      </c>
      <c r="AB5" s="11">
        <f t="shared" si="10"/>
        <v>4</v>
      </c>
      <c r="AC5">
        <f>0.3+Z5+(Z5-AA5)*100+W5*1000+AB5*10000000</f>
        <v>39995555.299999997</v>
      </c>
      <c r="AF5" s="2" t="str">
        <f t="shared" si="11"/>
        <v>Arany János Református Ált.Isk.</v>
      </c>
      <c r="AG5">
        <f t="shared" si="0"/>
        <v>30</v>
      </c>
      <c r="AH5" s="3" t="str">
        <f t="shared" si="1"/>
        <v>Arany János Református Ált.Isk.</v>
      </c>
      <c r="AI5">
        <f t="shared" si="2"/>
        <v>10</v>
      </c>
      <c r="AJ5" s="3" t="str">
        <f t="shared" si="2"/>
        <v>Vörösmarty M. Ált. Isk.</v>
      </c>
      <c r="AK5">
        <f t="shared" si="3"/>
        <v>10</v>
      </c>
      <c r="AL5" s="3" t="str">
        <f t="shared" si="3"/>
        <v>Vörösmarty M. Ált. Isk.</v>
      </c>
      <c r="AM5">
        <f t="shared" si="4"/>
        <v>30</v>
      </c>
      <c r="AN5" t="str">
        <f t="shared" si="5"/>
        <v>Arany János Református Ált.Isk._win</v>
      </c>
      <c r="AO5" t="str">
        <f t="shared" si="6"/>
        <v>Vörösmarty M. Ált. Isk._lose</v>
      </c>
    </row>
    <row r="6" spans="1:41" x14ac:dyDescent="0.25">
      <c r="A6" s="12">
        <v>4</v>
      </c>
      <c r="B6" s="13" t="s">
        <v>15</v>
      </c>
      <c r="C6" s="14">
        <v>0.45833333333333298</v>
      </c>
      <c r="D6" s="12" t="s">
        <v>47</v>
      </c>
      <c r="E6" s="47" t="str">
        <f>V4</f>
        <v>Arany János Református Ált.Isk.</v>
      </c>
      <c r="F6" s="47"/>
      <c r="G6" s="15">
        <v>30</v>
      </c>
      <c r="H6" s="8">
        <v>10</v>
      </c>
      <c r="I6" s="48" t="str">
        <f>V5</f>
        <v>Vörösmarty M. Ált. Isk.</v>
      </c>
      <c r="J6" s="49"/>
      <c r="K6" t="s">
        <v>56</v>
      </c>
      <c r="L6" s="9" t="str">
        <f>VLOOKUP(4,$U$3:$AB$7,2,FALSE)</f>
        <v>Vörösmarty M. Ált. Isk.</v>
      </c>
      <c r="M6" s="9">
        <f>VLOOKUP(4,$U$3:$AB$7,3,FALSE)</f>
        <v>1</v>
      </c>
      <c r="N6" s="9">
        <f>VLOOKUP(4,$U$3:$AB$7,4,FALSE)</f>
        <v>0</v>
      </c>
      <c r="O6" s="9">
        <f>VLOOKUP(4,$U$3:$AB$7,5,FALSE)</f>
        <v>3</v>
      </c>
      <c r="P6" s="9">
        <f>VLOOKUP(4,$U$3:$AB$7,6,FALSE)</f>
        <v>55</v>
      </c>
      <c r="Q6" s="9">
        <f>VLOOKUP(4,$U$3:$AB$7,7,FALSE)</f>
        <v>110</v>
      </c>
      <c r="R6" s="9">
        <f>P6-Q6</f>
        <v>-55</v>
      </c>
      <c r="S6" s="9">
        <f>VLOOKUP(4,$U$3:$AB$7,8,FALSE)</f>
        <v>4</v>
      </c>
      <c r="U6" s="2">
        <f>IF(AC6&lt;AC6,1,0)+IF(AC6&lt;AC7,1,0)+IF(AC6&lt;AC3,1,0)+IF(AC6&lt;AC4,1,0)+IF(AC6&lt;AC5,1,0)+1</f>
        <v>3</v>
      </c>
      <c r="V6" s="10" t="s">
        <v>20</v>
      </c>
      <c r="W6" s="11">
        <f>COUNTIF($AN$2:$AO$11,CONCATENATE(V6,"_win"))</f>
        <v>2</v>
      </c>
      <c r="X6" s="11">
        <f>COUNTIF($AN$2:$AO$11,CONCATENATE(V6,"_draw"))</f>
        <v>0</v>
      </c>
      <c r="Y6" s="11">
        <f>COUNTIF($AN$2:$AO$11,CONCATENATE(V6,"_lose"))</f>
        <v>2</v>
      </c>
      <c r="Z6" s="11">
        <f t="shared" si="8"/>
        <v>95</v>
      </c>
      <c r="AA6" s="11">
        <f t="shared" si="9"/>
        <v>75</v>
      </c>
      <c r="AB6" s="11">
        <f>W6*4+X6*2</f>
        <v>8</v>
      </c>
      <c r="AC6">
        <f>0.2+Z6+(Z6-AA6)*100+W6*1000+AB6*10000000</f>
        <v>80004095.200000003</v>
      </c>
      <c r="AF6" s="2" t="str">
        <f t="shared" si="11"/>
        <v>Béke utcai Ált. Isk.</v>
      </c>
      <c r="AG6">
        <f t="shared" si="0"/>
        <v>30</v>
      </c>
      <c r="AH6" s="3" t="str">
        <f t="shared" si="1"/>
        <v>Béke utcai Ált. Isk.</v>
      </c>
      <c r="AI6">
        <f t="shared" si="2"/>
        <v>5</v>
      </c>
      <c r="AJ6" s="3" t="str">
        <f t="shared" si="2"/>
        <v>István király Ált. Isk.</v>
      </c>
      <c r="AK6">
        <f t="shared" si="3"/>
        <v>5</v>
      </c>
      <c r="AL6" s="3" t="str">
        <f t="shared" si="3"/>
        <v>István király Ált. Isk.</v>
      </c>
      <c r="AM6">
        <f t="shared" si="4"/>
        <v>30</v>
      </c>
      <c r="AN6" t="str">
        <f t="shared" si="5"/>
        <v>Béke utcai Ált. Isk._win</v>
      </c>
      <c r="AO6" t="str">
        <f t="shared" si="6"/>
        <v>István király Ált. Isk._lose</v>
      </c>
    </row>
    <row r="7" spans="1:41" x14ac:dyDescent="0.25">
      <c r="A7" s="12">
        <v>5</v>
      </c>
      <c r="B7" s="13" t="s">
        <v>15</v>
      </c>
      <c r="C7" s="14">
        <v>0.47222222222222199</v>
      </c>
      <c r="D7" s="12" t="s">
        <v>47</v>
      </c>
      <c r="E7" s="50" t="str">
        <f>V6</f>
        <v>Béke utcai Ált. Isk.</v>
      </c>
      <c r="F7" s="50"/>
      <c r="G7" s="7">
        <v>30</v>
      </c>
      <c r="H7" s="8">
        <v>5</v>
      </c>
      <c r="I7" s="48" t="str">
        <f>V7</f>
        <v>István király Ált. Isk.</v>
      </c>
      <c r="J7" s="49"/>
      <c r="K7" t="s">
        <v>57</v>
      </c>
      <c r="L7" s="9" t="str">
        <f>VLOOKUP(5,$U$3:$AB$7,2,FALSE)</f>
        <v>István király Ált. Isk.</v>
      </c>
      <c r="M7" s="9">
        <f>VLOOKUP(5,$U$3:$AB$7,3,FALSE)</f>
        <v>0</v>
      </c>
      <c r="N7" s="9">
        <f>VLOOKUP(5,$U$3:$AB$7,4,FALSE)</f>
        <v>0</v>
      </c>
      <c r="O7" s="9">
        <f>VLOOKUP(5,$U$3:$AB$7,5,FALSE)</f>
        <v>4</v>
      </c>
      <c r="P7" s="9">
        <f>VLOOKUP(5,$U$3:$AB$7,6,FALSE)</f>
        <v>30</v>
      </c>
      <c r="Q7" s="9">
        <f>VLOOKUP(5,$U$3:$AB$7,7,FALSE)</f>
        <v>105</v>
      </c>
      <c r="R7" s="9">
        <f t="shared" si="7"/>
        <v>-75</v>
      </c>
      <c r="S7" s="9">
        <f>VLOOKUP(5,$U$3:$AB$7,8,FALSE)</f>
        <v>0</v>
      </c>
      <c r="U7" s="2">
        <f>IF(AC7&lt;AC7,1,0)+IF(AC7&lt;AC6,1,0)+IF(AC7&lt;AC3,1,0)+IF(AC7&lt;AC4,1,0)+IF(AC7&lt;AC5,1,0)+1</f>
        <v>5</v>
      </c>
      <c r="V7" s="10" t="s">
        <v>21</v>
      </c>
      <c r="W7" s="11">
        <f>COUNTIF($AN$2:$AO$11,CONCATENATE(V7,"_win"))</f>
        <v>0</v>
      </c>
      <c r="X7" s="11">
        <f>COUNTIF($AN$2:$AO$11,CONCATENATE(V7,"_draw"))</f>
        <v>0</v>
      </c>
      <c r="Y7" s="11">
        <f>COUNTIF($AN$2:$AO$11,CONCATENATE(V7,"_lose"))</f>
        <v>4</v>
      </c>
      <c r="Z7" s="11">
        <f t="shared" si="8"/>
        <v>30</v>
      </c>
      <c r="AA7" s="11">
        <f t="shared" si="9"/>
        <v>105</v>
      </c>
      <c r="AB7" s="11">
        <f t="shared" si="10"/>
        <v>0</v>
      </c>
      <c r="AC7">
        <f>0.1+Z7+(Z7-AA7)*100+W7*1000+AB7*10000000</f>
        <v>-7469.9</v>
      </c>
      <c r="AF7" s="2" t="str">
        <f t="shared" si="11"/>
        <v>Lycée Francais</v>
      </c>
      <c r="AG7">
        <f t="shared" si="0"/>
        <v>30</v>
      </c>
      <c r="AH7" s="3" t="str">
        <f t="shared" si="1"/>
        <v>Lycée Francais</v>
      </c>
      <c r="AI7">
        <f t="shared" si="2"/>
        <v>15</v>
      </c>
      <c r="AJ7" s="3" t="str">
        <f t="shared" si="2"/>
        <v>Vörösmarty M. Ált. Isk.</v>
      </c>
      <c r="AK7">
        <f t="shared" si="3"/>
        <v>15</v>
      </c>
      <c r="AL7" s="3" t="str">
        <f t="shared" si="3"/>
        <v>Vörösmarty M. Ált. Isk.</v>
      </c>
      <c r="AM7">
        <f t="shared" si="4"/>
        <v>30</v>
      </c>
      <c r="AN7" t="str">
        <f t="shared" si="5"/>
        <v>Lycée Francais_win</v>
      </c>
      <c r="AO7" t="str">
        <f t="shared" si="6"/>
        <v>Vörösmarty M. Ált. Isk._lose</v>
      </c>
    </row>
    <row r="8" spans="1:41" x14ac:dyDescent="0.25">
      <c r="A8" s="12">
        <v>6</v>
      </c>
      <c r="B8" s="13" t="s">
        <v>15</v>
      </c>
      <c r="C8" s="14">
        <v>0.48611111111111099</v>
      </c>
      <c r="D8" s="12" t="s">
        <v>47</v>
      </c>
      <c r="E8" s="50" t="str">
        <f>V3</f>
        <v>Lycée Francais</v>
      </c>
      <c r="F8" s="50"/>
      <c r="G8" s="15">
        <v>30</v>
      </c>
      <c r="H8" s="16">
        <v>15</v>
      </c>
      <c r="I8" s="50" t="str">
        <f>V5</f>
        <v>Vörösmarty M. Ált. Isk.</v>
      </c>
      <c r="J8" s="49"/>
      <c r="K8" t="s">
        <v>57</v>
      </c>
      <c r="L8" s="17"/>
      <c r="M8" s="17"/>
      <c r="N8" s="17"/>
      <c r="O8" s="17"/>
      <c r="P8" s="17"/>
      <c r="Q8" s="17"/>
      <c r="R8" s="17"/>
      <c r="S8" s="17"/>
      <c r="U8" s="2"/>
      <c r="V8" s="10"/>
      <c r="W8" s="11"/>
      <c r="X8" s="11"/>
      <c r="Y8" s="11"/>
      <c r="Z8" s="11"/>
      <c r="AA8" s="11"/>
      <c r="AB8" s="11"/>
      <c r="AF8" s="2" t="str">
        <f>E9</f>
        <v>István király Ált. Isk.</v>
      </c>
      <c r="AG8">
        <f>G9</f>
        <v>10</v>
      </c>
      <c r="AH8" s="3" t="str">
        <f>E9</f>
        <v>István király Ált. Isk.</v>
      </c>
      <c r="AI8">
        <f>H9</f>
        <v>20</v>
      </c>
      <c r="AJ8" s="3" t="str">
        <f>I9</f>
        <v>Arany János Református Ált.Isk.</v>
      </c>
      <c r="AK8">
        <f>H9</f>
        <v>20</v>
      </c>
      <c r="AL8" s="3" t="str">
        <f>I9</f>
        <v>Arany János Református Ált.Isk.</v>
      </c>
      <c r="AM8">
        <f>G9</f>
        <v>10</v>
      </c>
      <c r="AN8" t="str">
        <f>IF(G9="","",IF(H9="","",IF(G9&gt;H9,CONCATENATE(E9,"_win"),IF(G9&lt;H9,CONCATENATE(E9,"_lose"),CONCATENATE(E9,"_draw")))))</f>
        <v>István király Ált. Isk._lose</v>
      </c>
      <c r="AO8" t="str">
        <f>IF(G9="","",IF(H9="","",IF(G9&gt;H9,CONCATENATE(I9,"_lose"),IF(G9&lt;H9,CONCATENATE(I9,"_win"),CONCATENATE(I9,"_draw")))))</f>
        <v>Arany János Református Ált.Isk._win</v>
      </c>
    </row>
    <row r="9" spans="1:41" ht="15" customHeight="1" x14ac:dyDescent="0.25">
      <c r="A9" s="4">
        <v>7</v>
      </c>
      <c r="B9" s="5" t="s">
        <v>15</v>
      </c>
      <c r="C9" s="6">
        <v>0.5</v>
      </c>
      <c r="D9" s="4" t="s">
        <v>47</v>
      </c>
      <c r="E9" s="31" t="str">
        <f>V7</f>
        <v>István király Ált. Isk.</v>
      </c>
      <c r="F9" s="31"/>
      <c r="G9" s="7">
        <v>10</v>
      </c>
      <c r="H9" s="8">
        <v>20</v>
      </c>
      <c r="I9" s="30" t="str">
        <f>V4</f>
        <v>Arany János Református Ált.Isk.</v>
      </c>
      <c r="J9" s="44"/>
      <c r="K9" t="s">
        <v>58</v>
      </c>
      <c r="L9" s="18"/>
      <c r="M9" s="18"/>
      <c r="N9" s="18"/>
      <c r="O9" s="18"/>
      <c r="P9" s="18"/>
      <c r="Q9" s="18"/>
      <c r="R9" s="18"/>
      <c r="S9" s="18"/>
      <c r="U9" s="2"/>
      <c r="V9" s="10"/>
      <c r="W9" s="11"/>
      <c r="X9" s="11"/>
      <c r="Y9" s="11"/>
      <c r="Z9" s="11"/>
      <c r="AA9" s="11"/>
      <c r="AB9" s="11"/>
      <c r="AF9" s="2" t="str">
        <f>E10</f>
        <v>Béke utcai Ált. Isk.</v>
      </c>
      <c r="AG9">
        <f t="shared" si="0"/>
        <v>15</v>
      </c>
      <c r="AH9" s="3" t="str">
        <f t="shared" si="1"/>
        <v>Béke utcai Ált. Isk.</v>
      </c>
      <c r="AI9">
        <f t="shared" si="2"/>
        <v>30</v>
      </c>
      <c r="AJ9" s="3" t="str">
        <f t="shared" si="2"/>
        <v>Lycée Francais</v>
      </c>
      <c r="AK9">
        <f t="shared" si="3"/>
        <v>30</v>
      </c>
      <c r="AL9" s="3" t="str">
        <f t="shared" si="3"/>
        <v>Lycée Francais</v>
      </c>
      <c r="AM9">
        <f t="shared" si="4"/>
        <v>15</v>
      </c>
      <c r="AN9" t="str">
        <f t="shared" si="5"/>
        <v>Béke utcai Ált. Isk._lose</v>
      </c>
      <c r="AO9" t="str">
        <f t="shared" si="6"/>
        <v>Lycée Francais_win</v>
      </c>
    </row>
    <row r="10" spans="1:41" ht="15" customHeight="1" x14ac:dyDescent="0.25">
      <c r="A10" s="12">
        <v>8</v>
      </c>
      <c r="B10" s="13" t="s">
        <v>15</v>
      </c>
      <c r="C10" s="14">
        <v>0.51388888888888895</v>
      </c>
      <c r="D10" s="12" t="s">
        <v>47</v>
      </c>
      <c r="E10" s="31" t="str">
        <f>V6</f>
        <v>Béke utcai Ált. Isk.</v>
      </c>
      <c r="F10" s="31"/>
      <c r="G10" s="15">
        <v>15</v>
      </c>
      <c r="H10" s="8">
        <v>30</v>
      </c>
      <c r="I10" s="31" t="str">
        <f>V3</f>
        <v>Lycée Francais</v>
      </c>
      <c r="J10" s="32"/>
      <c r="K10" t="s">
        <v>58</v>
      </c>
      <c r="L10" s="18"/>
      <c r="M10" s="18"/>
      <c r="N10" s="18"/>
      <c r="O10" s="18"/>
      <c r="P10" s="18"/>
      <c r="Q10" s="18"/>
      <c r="R10" s="18"/>
      <c r="S10" s="18"/>
      <c r="U10" s="2"/>
      <c r="V10" s="10"/>
      <c r="W10" s="11"/>
      <c r="X10" s="11"/>
      <c r="Y10" s="11"/>
      <c r="Z10" s="11"/>
      <c r="AA10" s="11"/>
      <c r="AB10" s="11"/>
      <c r="AF10" s="2" t="str">
        <f t="shared" ref="AF10:AF11" si="12">E11</f>
        <v>Vörösmarty M. Ált. Isk.</v>
      </c>
      <c r="AG10">
        <f t="shared" si="0"/>
        <v>15</v>
      </c>
      <c r="AH10" s="3" t="str">
        <f t="shared" si="1"/>
        <v>Vörösmarty M. Ált. Isk.</v>
      </c>
      <c r="AI10">
        <f t="shared" si="2"/>
        <v>10</v>
      </c>
      <c r="AJ10" s="3" t="str">
        <f t="shared" si="2"/>
        <v>István király Ált. Isk.</v>
      </c>
      <c r="AK10">
        <f t="shared" si="3"/>
        <v>10</v>
      </c>
      <c r="AL10" s="3" t="str">
        <f t="shared" si="3"/>
        <v>István király Ált. Isk.</v>
      </c>
      <c r="AM10">
        <f t="shared" si="4"/>
        <v>15</v>
      </c>
      <c r="AN10" t="str">
        <f t="shared" si="5"/>
        <v>Vörösmarty M. Ált. Isk._win</v>
      </c>
      <c r="AO10" t="str">
        <f t="shared" si="6"/>
        <v>István király Ált. Isk._lose</v>
      </c>
    </row>
    <row r="11" spans="1:41" x14ac:dyDescent="0.25">
      <c r="A11" s="12">
        <v>9</v>
      </c>
      <c r="B11" s="13" t="s">
        <v>15</v>
      </c>
      <c r="C11" s="14">
        <v>0.52777777777777801</v>
      </c>
      <c r="D11" s="12" t="s">
        <v>47</v>
      </c>
      <c r="E11" s="45" t="str">
        <f>V5</f>
        <v>Vörösmarty M. Ált. Isk.</v>
      </c>
      <c r="F11" s="45"/>
      <c r="G11" s="7">
        <v>15</v>
      </c>
      <c r="H11" s="16">
        <v>10</v>
      </c>
      <c r="I11" s="45" t="str">
        <f>V7</f>
        <v>István király Ált. Isk.</v>
      </c>
      <c r="J11" s="46"/>
      <c r="K11" t="s">
        <v>56</v>
      </c>
      <c r="L11" s="18"/>
      <c r="M11" s="18"/>
      <c r="N11" s="18"/>
      <c r="O11" s="18"/>
      <c r="P11" s="18"/>
      <c r="Q11" s="18"/>
      <c r="R11" s="18"/>
      <c r="S11" s="18"/>
      <c r="U11" s="2"/>
      <c r="V11" s="10"/>
      <c r="W11" s="11"/>
      <c r="X11" s="11"/>
      <c r="Y11" s="11"/>
      <c r="Z11" s="11"/>
      <c r="AA11" s="11"/>
      <c r="AB11" s="11"/>
      <c r="AF11" s="2" t="str">
        <f t="shared" si="12"/>
        <v>Arany János Református Ált.Isk.</v>
      </c>
      <c r="AG11">
        <f t="shared" si="0"/>
        <v>25</v>
      </c>
      <c r="AH11" s="3" t="str">
        <f t="shared" si="1"/>
        <v>Arany János Református Ált.Isk.</v>
      </c>
      <c r="AI11">
        <f t="shared" si="2"/>
        <v>10</v>
      </c>
      <c r="AJ11" s="3" t="str">
        <f>I12</f>
        <v>Béke utcai Ált. Isk.</v>
      </c>
      <c r="AK11">
        <f t="shared" si="3"/>
        <v>10</v>
      </c>
      <c r="AL11" s="3" t="str">
        <f t="shared" si="3"/>
        <v>Béke utcai Ált. Isk.</v>
      </c>
      <c r="AM11">
        <f t="shared" si="4"/>
        <v>25</v>
      </c>
      <c r="AN11" t="str">
        <f t="shared" si="5"/>
        <v>Arany János Református Ált.Isk._win</v>
      </c>
      <c r="AO11" t="str">
        <f t="shared" si="6"/>
        <v>Béke utcai Ált. Isk._lose</v>
      </c>
    </row>
    <row r="12" spans="1:41" ht="15" customHeight="1" thickBot="1" x14ac:dyDescent="0.3">
      <c r="A12" s="12">
        <v>10</v>
      </c>
      <c r="B12" s="13" t="s">
        <v>15</v>
      </c>
      <c r="C12" s="14">
        <v>0.54166666666666696</v>
      </c>
      <c r="D12" s="12" t="s">
        <v>47</v>
      </c>
      <c r="E12" s="30" t="str">
        <f>V4</f>
        <v>Arany János Református Ált.Isk.</v>
      </c>
      <c r="F12" s="30"/>
      <c r="G12" s="15">
        <v>25</v>
      </c>
      <c r="H12" s="8">
        <v>10</v>
      </c>
      <c r="I12" s="31" t="str">
        <f>V6</f>
        <v>Béke utcai Ált. Isk.</v>
      </c>
      <c r="J12" s="32"/>
      <c r="K12" t="s">
        <v>56</v>
      </c>
      <c r="U12" s="2"/>
      <c r="V12" s="10"/>
      <c r="W12" s="11"/>
      <c r="X12" s="11"/>
      <c r="Y12" s="11"/>
      <c r="Z12" s="11"/>
      <c r="AA12" s="11"/>
      <c r="AB12" s="11"/>
      <c r="AH12" s="3"/>
    </row>
    <row r="13" spans="1:41" ht="15" customHeight="1" x14ac:dyDescent="0.25">
      <c r="A13" s="33" t="s">
        <v>16</v>
      </c>
      <c r="B13" s="34"/>
      <c r="C13" s="34"/>
      <c r="D13" s="34"/>
      <c r="E13" s="34"/>
      <c r="F13" s="34"/>
      <c r="G13" s="37" t="str">
        <f>L3</f>
        <v>Lycée Francais</v>
      </c>
      <c r="H13" s="38"/>
      <c r="I13" s="38"/>
      <c r="J13" s="39"/>
      <c r="U13" s="2"/>
      <c r="V13" s="10"/>
      <c r="W13" s="11"/>
      <c r="X13" s="11"/>
      <c r="Y13" s="11"/>
      <c r="Z13" s="11"/>
      <c r="AA13" s="11"/>
      <c r="AB13" s="11"/>
    </row>
    <row r="14" spans="1:41" ht="15.75" thickBot="1" x14ac:dyDescent="0.3">
      <c r="A14" s="35"/>
      <c r="B14" s="36"/>
      <c r="C14" s="36"/>
      <c r="D14" s="36"/>
      <c r="E14" s="36"/>
      <c r="F14" s="36"/>
      <c r="G14" s="40"/>
      <c r="H14" s="41"/>
      <c r="I14" s="41"/>
      <c r="J14" s="42"/>
    </row>
    <row r="15" spans="1:41" ht="1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41" ht="1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20"/>
      <c r="B17" s="21"/>
      <c r="C17" s="22"/>
      <c r="D17" s="20"/>
      <c r="E17" s="43"/>
      <c r="F17" s="43"/>
      <c r="G17" s="20"/>
      <c r="H17" s="20"/>
      <c r="I17" s="43"/>
      <c r="J17" s="43"/>
    </row>
  </sheetData>
  <mergeCells count="30">
    <mergeCell ref="AL1:AM1"/>
    <mergeCell ref="A1:J2"/>
    <mergeCell ref="K1:K2"/>
    <mergeCell ref="AF1:AG1"/>
    <mergeCell ref="AH1:AI1"/>
    <mergeCell ref="AJ1:AK1"/>
    <mergeCell ref="E3:F3"/>
    <mergeCell ref="I3:J3"/>
    <mergeCell ref="E4:F4"/>
    <mergeCell ref="I4:J4"/>
    <mergeCell ref="E5:F5"/>
    <mergeCell ref="I5:J5"/>
    <mergeCell ref="E6:F6"/>
    <mergeCell ref="I6:J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A13:F14"/>
    <mergeCell ref="G13:J14"/>
    <mergeCell ref="E17:F17"/>
    <mergeCell ref="I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17"/>
  <sheetViews>
    <sheetView workbookViewId="0">
      <selection activeCell="G13" sqref="G13:J14"/>
    </sheetView>
  </sheetViews>
  <sheetFormatPr defaultColWidth="8.85546875" defaultRowHeight="15" x14ac:dyDescent="0.25"/>
  <cols>
    <col min="1" max="1" width="3" bestFit="1" customWidth="1"/>
    <col min="2" max="2" width="24" bestFit="1" customWidth="1"/>
    <col min="3" max="3" width="5.42578125" bestFit="1" customWidth="1"/>
    <col min="4" max="4" width="10.85546875" bestFit="1" customWidth="1"/>
    <col min="7" max="8" width="3" bestFit="1" customWidth="1"/>
    <col min="10" max="10" width="27.42578125" customWidth="1"/>
    <col min="11" max="11" width="11.5703125" bestFit="1" customWidth="1"/>
    <col min="12" max="12" width="26.42578125" bestFit="1" customWidth="1"/>
    <col min="21" max="21" width="5" bestFit="1" customWidth="1"/>
    <col min="23" max="23" width="4.140625" bestFit="1" customWidth="1"/>
    <col min="24" max="24" width="5.140625" bestFit="1" customWidth="1"/>
    <col min="25" max="25" width="4.42578125" bestFit="1" customWidth="1"/>
    <col min="26" max="27" width="3" bestFit="1" customWidth="1"/>
    <col min="28" max="28" width="3.7109375" bestFit="1" customWidth="1"/>
    <col min="29" max="29" width="11" bestFit="1" customWidth="1"/>
  </cols>
  <sheetData>
    <row r="1" spans="1:41" x14ac:dyDescent="0.25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6"/>
      <c r="K1" s="60" t="s">
        <v>0</v>
      </c>
      <c r="AF1" s="61" t="s">
        <v>1</v>
      </c>
      <c r="AG1" s="61"/>
      <c r="AH1" s="61" t="s">
        <v>2</v>
      </c>
      <c r="AI1" s="61"/>
      <c r="AJ1" s="61" t="s">
        <v>1</v>
      </c>
      <c r="AK1" s="61"/>
      <c r="AL1" s="61" t="s">
        <v>2</v>
      </c>
      <c r="AM1" s="61"/>
    </row>
    <row r="2" spans="1:41" ht="15.75" thickBot="1" x14ac:dyDescent="0.3">
      <c r="A2" s="57"/>
      <c r="B2" s="58"/>
      <c r="C2" s="58"/>
      <c r="D2" s="58"/>
      <c r="E2" s="58"/>
      <c r="F2" s="58"/>
      <c r="G2" s="58"/>
      <c r="H2" s="58"/>
      <c r="I2" s="58"/>
      <c r="J2" s="59"/>
      <c r="K2" s="60"/>
      <c r="L2" s="1" t="s">
        <v>3</v>
      </c>
      <c r="M2" s="1" t="s">
        <v>4</v>
      </c>
      <c r="N2" s="1" t="s">
        <v>5</v>
      </c>
      <c r="O2" s="1" t="s">
        <v>6</v>
      </c>
      <c r="P2" s="1"/>
      <c r="Q2" s="1"/>
      <c r="R2" s="1"/>
      <c r="S2" s="1" t="s">
        <v>7</v>
      </c>
      <c r="U2" s="2" t="s">
        <v>8</v>
      </c>
      <c r="V2" s="2"/>
      <c r="W2" s="2" t="s">
        <v>9</v>
      </c>
      <c r="X2" s="2" t="s">
        <v>10</v>
      </c>
      <c r="Y2" s="2" t="s">
        <v>11</v>
      </c>
      <c r="Z2" s="2" t="s">
        <v>12</v>
      </c>
      <c r="AA2" s="2" t="s">
        <v>13</v>
      </c>
      <c r="AB2" s="2" t="s">
        <v>7</v>
      </c>
      <c r="AC2" s="2" t="s">
        <v>14</v>
      </c>
      <c r="AF2" s="2" t="str">
        <f>E3</f>
        <v>Kós Károly Szakképzőisk Érd</v>
      </c>
      <c r="AG2">
        <f>G3</f>
        <v>36</v>
      </c>
      <c r="AH2" s="3" t="str">
        <f>E3</f>
        <v>Kós Károly Szakképzőisk Érd</v>
      </c>
      <c r="AI2">
        <f>H3</f>
        <v>12</v>
      </c>
      <c r="AJ2" s="3" t="str">
        <f>I3</f>
        <v>Gedói Ált Isk Szeged</v>
      </c>
      <c r="AK2">
        <f>H3</f>
        <v>12</v>
      </c>
      <c r="AL2" s="3" t="str">
        <f>I3</f>
        <v>Gedói Ált Isk Szeged</v>
      </c>
      <c r="AM2">
        <f>G3</f>
        <v>36</v>
      </c>
      <c r="AN2" t="str">
        <f>IF(G3="","",IF(H3="","",IF(G3&gt;H3,CONCATENATE(E3,"_win"),IF(G3&lt;H3,CONCATENATE(E3,"_lose"),CONCATENATE(E3,"_draw")))))</f>
        <v>Kós Károly Szakképzőisk Érd_win</v>
      </c>
      <c r="AO2" t="str">
        <f>IF(G3="","",IF(H3="","",IF(G3&gt;H3,CONCATENATE(I3,"_lose"),IF(G3&lt;H3,CONCATENATE(I3,"_win"),CONCATENATE(I3,"_draw")))))</f>
        <v>Gedói Ált Isk Szeged_lose</v>
      </c>
    </row>
    <row r="3" spans="1:41" x14ac:dyDescent="0.25">
      <c r="A3" s="4">
        <v>1</v>
      </c>
      <c r="B3" s="5" t="s">
        <v>15</v>
      </c>
      <c r="C3" s="6">
        <v>0.41666666666666669</v>
      </c>
      <c r="D3" s="4" t="s">
        <v>46</v>
      </c>
      <c r="E3" s="72" t="str">
        <f>V3</f>
        <v>Kós Károly Szakképzőisk Érd</v>
      </c>
      <c r="F3" s="72"/>
      <c r="G3" s="7">
        <v>36</v>
      </c>
      <c r="H3" s="8">
        <v>12</v>
      </c>
      <c r="I3" s="73" t="s">
        <v>33</v>
      </c>
      <c r="J3" s="74"/>
      <c r="K3" t="s">
        <v>55</v>
      </c>
      <c r="L3" s="9" t="str">
        <f>VLOOKUP(1,$U$3:$AB$7,2,FALSE)</f>
        <v>Kós Károly Szakképzőisk Érd</v>
      </c>
      <c r="M3" s="9">
        <f>VLOOKUP(1,$U$3:$AB$7,3,FALSE)</f>
        <v>4</v>
      </c>
      <c r="N3" s="9">
        <f>VLOOKUP(1,$U$3:$AB$7,4,FALSE)</f>
        <v>0</v>
      </c>
      <c r="O3" s="9">
        <f>VLOOKUP(1,$U$3:$AB$7,5,FALSE)</f>
        <v>0</v>
      </c>
      <c r="P3" s="9">
        <f>VLOOKUP(1,$U$3:$AB$7,6,FALSE)</f>
        <v>119</v>
      </c>
      <c r="Q3" s="9">
        <f>VLOOKUP(1,$U$3:$AB$7,7,FALSE)</f>
        <v>17</v>
      </c>
      <c r="R3" s="9">
        <f>P3-Q3</f>
        <v>102</v>
      </c>
      <c r="S3" s="9">
        <f>VLOOKUP(1,$U$3:$AB$7,8,FALSE)</f>
        <v>16</v>
      </c>
      <c r="U3" s="2">
        <f>IF(AC3&lt;AC3,1,0)+IF(AC3&lt;AC4,1,0)+IF(AC3&lt;AC5,1,0)+IF(AC3&lt;AC6,1,0)+IF(AC3&lt;AC7,1,0)+1</f>
        <v>1</v>
      </c>
      <c r="V3" s="10" t="s">
        <v>32</v>
      </c>
      <c r="W3" s="11">
        <f>COUNTIF($AN$2:$AO$11,CONCATENATE(V3,"_win"))</f>
        <v>4</v>
      </c>
      <c r="X3" s="11">
        <f>COUNTIF($AN$2:$AO$11,CONCATENATE(V3,"_draw"))</f>
        <v>0</v>
      </c>
      <c r="Y3" s="11">
        <f>COUNTIF($AN$2:$AO$11,CONCATENATE(V3,"_lose"))</f>
        <v>0</v>
      </c>
      <c r="Z3" s="11">
        <f>SUMIF($AJ$2:$AJ$11,CONCATENATE("=",V3),$AK$2:$AK$11)+SUMIF($AF$2:$AF$11,CONCATENATE("=",V3),$AG$2:$AG$11)</f>
        <v>119</v>
      </c>
      <c r="AA3" s="11">
        <f>SUMIF($AL$2:$AL$11,CONCATENATE("=",V3),$AM$2:$AM$11)+SUMIF($AH$2:$AH$11,CONCATENATE("=",V3),$AI$2:$AI$11)</f>
        <v>17</v>
      </c>
      <c r="AB3" s="11">
        <f>W3*4+X3*2</f>
        <v>16</v>
      </c>
      <c r="AC3">
        <f>0.5+Z3+(Z3-AA3)*100+W3*1000+AB3*10000000</f>
        <v>160014319.5</v>
      </c>
      <c r="AF3" s="2" t="str">
        <f>E4</f>
        <v>Hungária Általános Iskola Bp</v>
      </c>
      <c r="AG3">
        <f t="shared" ref="AG3:AG11" si="0">G4</f>
        <v>12</v>
      </c>
      <c r="AH3" s="3" t="str">
        <f t="shared" ref="AH3:AH11" si="1">E4</f>
        <v>Hungária Általános Iskola Bp</v>
      </c>
      <c r="AI3">
        <f t="shared" ref="AI3:AJ11" si="2">H4</f>
        <v>0</v>
      </c>
      <c r="AJ3" s="3" t="str">
        <f t="shared" si="2"/>
        <v>Mátyás Király Ált Isk Kmét</v>
      </c>
      <c r="AK3">
        <f t="shared" ref="AK3:AL11" si="3">H4</f>
        <v>0</v>
      </c>
      <c r="AL3" s="3" t="str">
        <f t="shared" si="3"/>
        <v>Mátyás Király Ált Isk Kmét</v>
      </c>
      <c r="AM3">
        <f t="shared" ref="AM3:AM11" si="4">G4</f>
        <v>12</v>
      </c>
      <c r="AN3" t="str">
        <f t="shared" ref="AN3:AN11" si="5">IF(G4="","",IF(H4="","",IF(G4&gt;H4,CONCATENATE(E4,"_win"),IF(G4&lt;H4,CONCATENATE(E4,"_lose"),CONCATENATE(E4,"_draw")))))</f>
        <v>Hungária Általános Iskola Bp_win</v>
      </c>
      <c r="AO3" t="str">
        <f t="shared" ref="AO3:AO11" si="6">IF(G4="","",IF(H4="","",IF(G4&gt;H4,CONCATENATE(I4,"_lose"),IF(G4&lt;H4,CONCATENATE(I4,"_win"),CONCATENATE(I4,"_draw")))))</f>
        <v>Mátyás Király Ált Isk Kmét_lose</v>
      </c>
    </row>
    <row r="4" spans="1:41" x14ac:dyDescent="0.25">
      <c r="A4" s="12">
        <v>2</v>
      </c>
      <c r="B4" s="13" t="s">
        <v>15</v>
      </c>
      <c r="C4" s="14">
        <v>0.43055555555555558</v>
      </c>
      <c r="D4" s="12" t="s">
        <v>46</v>
      </c>
      <c r="E4" s="47" t="str">
        <f>V5</f>
        <v>Hungária Általános Iskola Bp</v>
      </c>
      <c r="F4" s="47"/>
      <c r="G4" s="15">
        <v>12</v>
      </c>
      <c r="H4" s="8">
        <v>0</v>
      </c>
      <c r="I4" s="66" t="str">
        <f>V6</f>
        <v>Mátyás Király Ált Isk Kmét</v>
      </c>
      <c r="J4" s="67"/>
      <c r="K4" t="s">
        <v>55</v>
      </c>
      <c r="L4" s="9" t="str">
        <f>VLOOKUP(2,$U$3:$AB$7,2,FALSE)</f>
        <v>Szent Erzsébet Ált Isk Egom</v>
      </c>
      <c r="M4" s="9">
        <f>VLOOKUP(2,$U$3:$AB$7,3,FALSE)</f>
        <v>3</v>
      </c>
      <c r="N4" s="9">
        <f>VLOOKUP(2,$U$3:$AB$7,4,FALSE)</f>
        <v>0</v>
      </c>
      <c r="O4" s="9">
        <f>VLOOKUP(2,$U$3:$AB$7,5,FALSE)</f>
        <v>1</v>
      </c>
      <c r="P4" s="9">
        <f>VLOOKUP(2,$U$3:$AB$7,6,FALSE)</f>
        <v>105</v>
      </c>
      <c r="Q4" s="9">
        <f>VLOOKUP(2,$U$3:$AB$7,7,FALSE)</f>
        <v>29</v>
      </c>
      <c r="R4" s="9">
        <f t="shared" ref="R4:R7" si="7">P4-Q4</f>
        <v>76</v>
      </c>
      <c r="S4" s="9">
        <f>VLOOKUP(2,$U$3:$AB$7,8,FALSE)</f>
        <v>12</v>
      </c>
      <c r="U4" s="2">
        <f>IF(AC4&lt;AC4,1,0)+IF(AC4&lt;AC3,1,0)+IF(AC4&lt;AC5,1,0)+IF(AC4&lt;AC6,1,0)+IF(AC4&lt;AC7,1,0)+1</f>
        <v>3</v>
      </c>
      <c r="V4" s="10" t="s">
        <v>33</v>
      </c>
      <c r="W4" s="11">
        <f>COUNTIF($AN$2:$AO$11,CONCATENATE(V4,"_win"))</f>
        <v>2</v>
      </c>
      <c r="X4" s="11">
        <f>COUNTIF($AN$2:$AO$11,CONCATENATE(V4,"_draw"))</f>
        <v>0</v>
      </c>
      <c r="Y4" s="11">
        <f>COUNTIF($AN$2:$AO$11,CONCATENATE(V4,"_lose"))</f>
        <v>2</v>
      </c>
      <c r="Z4" s="11">
        <f t="shared" ref="Z4:Z7" si="8">SUMIF($AJ$2:$AJ$11,CONCATENATE("=",V4),$AK$2:$AK$11)+SUMIF($AF$2:$AF$11,CONCATENATE("=",V4),$AG$2:$AG$11)</f>
        <v>52</v>
      </c>
      <c r="AA4" s="11">
        <f t="shared" ref="AA4:AA7" si="9">SUMIF($AL$2:$AL$11,CONCATENATE("=",V4),$AM$2:$AM$11)+SUMIF($AH$2:$AH$11,CONCATENATE("=",V4),$AI$2:$AI$11)</f>
        <v>79</v>
      </c>
      <c r="AB4" s="11">
        <f t="shared" ref="AB4:AB7" si="10">W4*4+X4*2</f>
        <v>8</v>
      </c>
      <c r="AC4">
        <f>0.4+Z4+(Z4-AA4)*100+W4*1000+AB4*10000000</f>
        <v>79999352.400000006</v>
      </c>
      <c r="AF4" s="2" t="str">
        <f t="shared" ref="AF4:AF7" si="11">E5</f>
        <v>Szent Erzsébet Ált Isk Egom</v>
      </c>
      <c r="AG4">
        <f t="shared" si="0"/>
        <v>5</v>
      </c>
      <c r="AH4" s="3" t="str">
        <f t="shared" si="1"/>
        <v>Szent Erzsébet Ált Isk Egom</v>
      </c>
      <c r="AI4">
        <f t="shared" si="2"/>
        <v>10</v>
      </c>
      <c r="AJ4" s="3" t="str">
        <f t="shared" si="2"/>
        <v>Kós Károly Szakképzőisk Érd</v>
      </c>
      <c r="AK4">
        <f t="shared" si="3"/>
        <v>10</v>
      </c>
      <c r="AL4" s="3" t="str">
        <f t="shared" si="3"/>
        <v>Kós Károly Szakképzőisk Érd</v>
      </c>
      <c r="AM4">
        <f t="shared" si="4"/>
        <v>5</v>
      </c>
      <c r="AN4" t="str">
        <f t="shared" si="5"/>
        <v>Szent Erzsébet Ált Isk Egom_lose</v>
      </c>
      <c r="AO4" t="str">
        <f t="shared" si="6"/>
        <v>Kós Károly Szakképzőisk Érd_win</v>
      </c>
    </row>
    <row r="5" spans="1:41" x14ac:dyDescent="0.25">
      <c r="A5" s="12">
        <v>3</v>
      </c>
      <c r="B5" s="13" t="s">
        <v>15</v>
      </c>
      <c r="C5" s="14">
        <v>0.44444444444444398</v>
      </c>
      <c r="D5" s="12" t="s">
        <v>46</v>
      </c>
      <c r="E5" s="47" t="str">
        <f>V7</f>
        <v>Szent Erzsébet Ált Isk Egom</v>
      </c>
      <c r="F5" s="47"/>
      <c r="G5" s="7">
        <v>5</v>
      </c>
      <c r="H5" s="16">
        <v>10</v>
      </c>
      <c r="I5" s="66" t="str">
        <f>V3</f>
        <v>Kós Károly Szakképzőisk Érd</v>
      </c>
      <c r="J5" s="67"/>
      <c r="K5" t="s">
        <v>51</v>
      </c>
      <c r="L5" s="9" t="str">
        <f>VLOOKUP(3,$U$3:$AB$7,2,FALSE)</f>
        <v>Gedói Ált Isk Szeged</v>
      </c>
      <c r="M5" s="9">
        <f>VLOOKUP(3,$U$3:$AB$7,3,FALSE)</f>
        <v>2</v>
      </c>
      <c r="N5" s="9">
        <f>VLOOKUP(3,$U$3:$AB$7,4,FALSE)</f>
        <v>0</v>
      </c>
      <c r="O5" s="9">
        <f>VLOOKUP(3,$U$3:$AB$7,5,FALSE)</f>
        <v>2</v>
      </c>
      <c r="P5" s="9">
        <f>VLOOKUP(3,$U$3:$AB$7,6,FALSE)</f>
        <v>52</v>
      </c>
      <c r="Q5" s="9">
        <f>VLOOKUP(3,$U$3:$AB$7,7,FALSE)</f>
        <v>79</v>
      </c>
      <c r="R5" s="9">
        <f>P5-Q5</f>
        <v>-27</v>
      </c>
      <c r="S5" s="9">
        <f>VLOOKUP(3,$U$3:$AB$7,8,FALSE)</f>
        <v>8</v>
      </c>
      <c r="U5" s="2">
        <f>IF(AC5&lt;AC5,1,0)+IF(AC5&lt;AC3,1,0)+IF(AC5&lt;AC4,1,0)+IF(AC5&lt;AC6,1,0)+IF(AC5&lt;AC7,1,0)+1</f>
        <v>4</v>
      </c>
      <c r="V5" s="10" t="s">
        <v>35</v>
      </c>
      <c r="W5" s="11">
        <f>COUNTIF($AN$2:$AO$11,CONCATENATE(V5,"_win"))</f>
        <v>1</v>
      </c>
      <c r="X5" s="11">
        <f>COUNTIF($AN$2:$AO$11,CONCATENATE(V5,"_draw"))</f>
        <v>0</v>
      </c>
      <c r="Y5" s="11">
        <f>COUNTIF($AN$2:$AO$11,CONCATENATE(V5,"_lose"))</f>
        <v>3</v>
      </c>
      <c r="Z5" s="11">
        <f t="shared" si="8"/>
        <v>33</v>
      </c>
      <c r="AA5" s="11">
        <f t="shared" si="9"/>
        <v>76</v>
      </c>
      <c r="AB5" s="11">
        <f t="shared" si="10"/>
        <v>4</v>
      </c>
      <c r="AC5">
        <f>0.3+Z5+(Z5-AA5)*100+W5*1000+AB5*10000000</f>
        <v>39996733.299999997</v>
      </c>
      <c r="AF5" s="2" t="str">
        <f t="shared" si="11"/>
        <v>Gedói Ált Isk Szeged</v>
      </c>
      <c r="AG5">
        <f t="shared" si="0"/>
        <v>21</v>
      </c>
      <c r="AH5" s="3" t="str">
        <f t="shared" si="1"/>
        <v>Gedói Ált Isk Szeged</v>
      </c>
      <c r="AI5">
        <f t="shared" si="2"/>
        <v>7</v>
      </c>
      <c r="AJ5" s="3" t="str">
        <f t="shared" si="2"/>
        <v>Hungária Általános Iskola Bp</v>
      </c>
      <c r="AK5">
        <f t="shared" si="3"/>
        <v>7</v>
      </c>
      <c r="AL5" s="3" t="str">
        <f t="shared" si="3"/>
        <v>Hungária Általános Iskola Bp</v>
      </c>
      <c r="AM5">
        <f t="shared" si="4"/>
        <v>21</v>
      </c>
      <c r="AN5" t="str">
        <f t="shared" si="5"/>
        <v>Gedói Ált Isk Szeged_win</v>
      </c>
      <c r="AO5" t="str">
        <f t="shared" si="6"/>
        <v>Hungária Általános Iskola Bp_lose</v>
      </c>
    </row>
    <row r="6" spans="1:41" x14ac:dyDescent="0.25">
      <c r="A6" s="12">
        <v>4</v>
      </c>
      <c r="B6" s="13" t="s">
        <v>15</v>
      </c>
      <c r="C6" s="14">
        <v>0.45833333333333298</v>
      </c>
      <c r="D6" s="12" t="s">
        <v>46</v>
      </c>
      <c r="E6" s="50" t="str">
        <f>V4</f>
        <v>Gedói Ált Isk Szeged</v>
      </c>
      <c r="F6" s="50"/>
      <c r="G6" s="15">
        <v>21</v>
      </c>
      <c r="H6" s="8">
        <v>7</v>
      </c>
      <c r="I6" s="66" t="str">
        <f>V5</f>
        <v>Hungária Általános Iskola Bp</v>
      </c>
      <c r="J6" s="67"/>
      <c r="K6" t="s">
        <v>51</v>
      </c>
      <c r="L6" s="9" t="str">
        <f>VLOOKUP(4,$U$3:$AB$7,2,FALSE)</f>
        <v>Hungária Általános Iskola Bp</v>
      </c>
      <c r="M6" s="9">
        <f>VLOOKUP(4,$U$3:$AB$7,3,FALSE)</f>
        <v>1</v>
      </c>
      <c r="N6" s="9">
        <f>VLOOKUP(4,$U$3:$AB$7,4,FALSE)</f>
        <v>0</v>
      </c>
      <c r="O6" s="9">
        <f>VLOOKUP(4,$U$3:$AB$7,5,FALSE)</f>
        <v>3</v>
      </c>
      <c r="P6" s="9">
        <f>VLOOKUP(4,$U$3:$AB$7,6,FALSE)</f>
        <v>33</v>
      </c>
      <c r="Q6" s="9">
        <f>VLOOKUP(4,$U$3:$AB$7,7,FALSE)</f>
        <v>76</v>
      </c>
      <c r="R6" s="9">
        <f>P6-Q6</f>
        <v>-43</v>
      </c>
      <c r="S6" s="9">
        <f>VLOOKUP(4,$U$3:$AB$7,8,FALSE)</f>
        <v>4</v>
      </c>
      <c r="U6" s="2">
        <f>IF(AC6&lt;AC6,1,0)+IF(AC6&lt;AC7,1,0)+IF(AC6&lt;AC3,1,0)+IF(AC6&lt;AC4,1,0)+IF(AC6&lt;AC5,1,0)+1</f>
        <v>5</v>
      </c>
      <c r="V6" s="10" t="s">
        <v>29</v>
      </c>
      <c r="W6" s="11">
        <f>COUNTIF($AN$2:$AO$11,CONCATENATE(V6,"_win"))</f>
        <v>0</v>
      </c>
      <c r="X6" s="11">
        <f>COUNTIF($AN$2:$AO$11,CONCATENATE(V6,"_draw"))</f>
        <v>0</v>
      </c>
      <c r="Y6" s="11">
        <f>COUNTIF($AN$2:$AO$11,CONCATENATE(V6,"_lose"))</f>
        <v>4</v>
      </c>
      <c r="Z6" s="11">
        <f t="shared" si="8"/>
        <v>5</v>
      </c>
      <c r="AA6" s="11">
        <f t="shared" si="9"/>
        <v>113</v>
      </c>
      <c r="AB6" s="11">
        <f>W6*4+X6*2</f>
        <v>0</v>
      </c>
      <c r="AC6">
        <f>0.2+Z6+(Z6-AA6)*100+W6*1000+AB6*10000000</f>
        <v>-10794.8</v>
      </c>
      <c r="AF6" s="2" t="str">
        <f t="shared" si="11"/>
        <v>Mátyás Király Ált Isk Kmét</v>
      </c>
      <c r="AG6">
        <f t="shared" si="0"/>
        <v>0</v>
      </c>
      <c r="AH6" s="3" t="str">
        <f t="shared" si="1"/>
        <v>Mátyás Király Ált Isk Kmét</v>
      </c>
      <c r="AI6">
        <f t="shared" si="2"/>
        <v>40</v>
      </c>
      <c r="AJ6" s="3" t="str">
        <f t="shared" si="2"/>
        <v>Szent Erzsébet Ált Isk Egom</v>
      </c>
      <c r="AK6">
        <f t="shared" si="3"/>
        <v>40</v>
      </c>
      <c r="AL6" s="3" t="str">
        <f t="shared" si="3"/>
        <v>Szent Erzsébet Ált Isk Egom</v>
      </c>
      <c r="AM6">
        <f t="shared" si="4"/>
        <v>0</v>
      </c>
      <c r="AN6" t="str">
        <f t="shared" si="5"/>
        <v>Mátyás Király Ált Isk Kmét_lose</v>
      </c>
      <c r="AO6" t="str">
        <f t="shared" si="6"/>
        <v>Szent Erzsébet Ált Isk Egom_win</v>
      </c>
    </row>
    <row r="7" spans="1:41" x14ac:dyDescent="0.25">
      <c r="A7" s="12">
        <v>5</v>
      </c>
      <c r="B7" s="13" t="s">
        <v>15</v>
      </c>
      <c r="C7" s="14">
        <v>0.47222222222222199</v>
      </c>
      <c r="D7" s="12" t="s">
        <v>46</v>
      </c>
      <c r="E7" s="47" t="str">
        <f>V6</f>
        <v>Mátyás Király Ált Isk Kmét</v>
      </c>
      <c r="F7" s="47"/>
      <c r="G7" s="7">
        <v>0</v>
      </c>
      <c r="H7" s="8">
        <v>40</v>
      </c>
      <c r="I7" s="66" t="str">
        <f>V7</f>
        <v>Szent Erzsébet Ált Isk Egom</v>
      </c>
      <c r="J7" s="67"/>
      <c r="K7" t="s">
        <v>52</v>
      </c>
      <c r="L7" s="9" t="str">
        <f>VLOOKUP(5,$U$3:$AB$7,2,FALSE)</f>
        <v>Mátyás Király Ált Isk Kmét</v>
      </c>
      <c r="M7" s="9">
        <f>VLOOKUP(5,$U$3:$AB$7,3,FALSE)</f>
        <v>0</v>
      </c>
      <c r="N7" s="9">
        <f>VLOOKUP(5,$U$3:$AB$7,4,FALSE)</f>
        <v>0</v>
      </c>
      <c r="O7" s="9">
        <f>VLOOKUP(5,$U$3:$AB$7,5,FALSE)</f>
        <v>4</v>
      </c>
      <c r="P7" s="9">
        <f>VLOOKUP(5,$U$3:$AB$7,6,FALSE)</f>
        <v>5</v>
      </c>
      <c r="Q7" s="9">
        <f>VLOOKUP(5,$U$3:$AB$7,7,FALSE)</f>
        <v>113</v>
      </c>
      <c r="R7" s="9">
        <f t="shared" si="7"/>
        <v>-108</v>
      </c>
      <c r="S7" s="9">
        <f>VLOOKUP(5,$U$3:$AB$7,8,FALSE)</f>
        <v>0</v>
      </c>
      <c r="U7" s="2">
        <f>IF(AC7&lt;AC7,1,0)+IF(AC7&lt;AC6,1,0)+IF(AC7&lt;AC3,1,0)+IF(AC7&lt;AC4,1,0)+IF(AC7&lt;AC5,1,0)+1</f>
        <v>2</v>
      </c>
      <c r="V7" s="10" t="s">
        <v>34</v>
      </c>
      <c r="W7" s="11">
        <f>COUNTIF($AN$2:$AO$11,CONCATENATE(V7,"_win"))</f>
        <v>3</v>
      </c>
      <c r="X7" s="11">
        <f>COUNTIF($AN$2:$AO$11,CONCATENATE(V7,"_draw"))</f>
        <v>0</v>
      </c>
      <c r="Y7" s="11">
        <f>COUNTIF($AN$2:$AO$11,CONCATENATE(V7,"_lose"))</f>
        <v>1</v>
      </c>
      <c r="Z7" s="11">
        <f t="shared" si="8"/>
        <v>105</v>
      </c>
      <c r="AA7" s="11">
        <f t="shared" si="9"/>
        <v>29</v>
      </c>
      <c r="AB7" s="11">
        <f t="shared" si="10"/>
        <v>12</v>
      </c>
      <c r="AC7">
        <f>0.1+Z7+(Z7-AA7)*100+W7*1000+AB7*10000000</f>
        <v>120010705.09999999</v>
      </c>
      <c r="AF7" s="2" t="str">
        <f t="shared" si="11"/>
        <v>Kós Károly Szakképzőisk Érd</v>
      </c>
      <c r="AG7">
        <f t="shared" si="0"/>
        <v>26</v>
      </c>
      <c r="AH7" s="3" t="str">
        <f t="shared" si="1"/>
        <v>Kós Károly Szakképzőisk Érd</v>
      </c>
      <c r="AI7">
        <f t="shared" si="2"/>
        <v>0</v>
      </c>
      <c r="AJ7" s="3" t="str">
        <f t="shared" si="2"/>
        <v>Hungária Általános Iskola Bp</v>
      </c>
      <c r="AK7">
        <f t="shared" si="3"/>
        <v>0</v>
      </c>
      <c r="AL7" s="3" t="str">
        <f t="shared" si="3"/>
        <v>Hungária Általános Iskola Bp</v>
      </c>
      <c r="AM7">
        <f t="shared" si="4"/>
        <v>26</v>
      </c>
      <c r="AN7" t="str">
        <f t="shared" si="5"/>
        <v>Kós Károly Szakképzőisk Érd_win</v>
      </c>
      <c r="AO7" t="str">
        <f t="shared" si="6"/>
        <v>Hungária Általános Iskola Bp_lose</v>
      </c>
    </row>
    <row r="8" spans="1:41" x14ac:dyDescent="0.25">
      <c r="A8" s="12">
        <v>6</v>
      </c>
      <c r="B8" s="13" t="s">
        <v>15</v>
      </c>
      <c r="C8" s="14">
        <v>0.48611111111111099</v>
      </c>
      <c r="D8" s="12" t="s">
        <v>46</v>
      </c>
      <c r="E8" s="47" t="str">
        <f>V3</f>
        <v>Kós Károly Szakképzőisk Érd</v>
      </c>
      <c r="F8" s="47"/>
      <c r="G8" s="15">
        <v>26</v>
      </c>
      <c r="H8" s="16">
        <v>0</v>
      </c>
      <c r="I8" s="47" t="str">
        <f>V5</f>
        <v>Hungária Általános Iskola Bp</v>
      </c>
      <c r="J8" s="67"/>
      <c r="K8" t="s">
        <v>52</v>
      </c>
      <c r="L8" s="17"/>
      <c r="M8" s="17"/>
      <c r="N8" s="17"/>
      <c r="O8" s="17"/>
      <c r="P8" s="17"/>
      <c r="Q8" s="17"/>
      <c r="R8" s="17"/>
      <c r="S8" s="17"/>
      <c r="U8" s="2"/>
      <c r="V8" s="10"/>
      <c r="W8" s="11"/>
      <c r="X8" s="11"/>
      <c r="Y8" s="11"/>
      <c r="Z8" s="11"/>
      <c r="AA8" s="11"/>
      <c r="AB8" s="11"/>
      <c r="AF8" s="2" t="str">
        <f>E9</f>
        <v>Szent Erzsébet Ált Isk Egom</v>
      </c>
      <c r="AG8">
        <f>G9</f>
        <v>31</v>
      </c>
      <c r="AH8" s="3" t="str">
        <f>E9</f>
        <v>Szent Erzsébet Ált Isk Egom</v>
      </c>
      <c r="AI8">
        <f>H9</f>
        <v>5</v>
      </c>
      <c r="AJ8" s="3" t="str">
        <f>I9</f>
        <v>Gedói Ált Isk Szeged</v>
      </c>
      <c r="AK8">
        <f>H9</f>
        <v>5</v>
      </c>
      <c r="AL8" s="3" t="str">
        <f>I9</f>
        <v>Gedói Ált Isk Szeged</v>
      </c>
      <c r="AM8">
        <f>G9</f>
        <v>31</v>
      </c>
      <c r="AN8" t="str">
        <f>IF(G9="","",IF(H9="","",IF(G9&gt;H9,CONCATENATE(E9,"_win"),IF(G9&lt;H9,CONCATENATE(E9,"_lose"),CONCATENATE(E9,"_draw")))))</f>
        <v>Szent Erzsébet Ált Isk Egom_win</v>
      </c>
      <c r="AO8" t="str">
        <f>IF(G9="","",IF(H9="","",IF(G9&gt;H9,CONCATENATE(I9,"_lose"),IF(G9&lt;H9,CONCATENATE(I9,"_win"),CONCATENATE(I9,"_draw")))))</f>
        <v>Gedói Ált Isk Szeged_lose</v>
      </c>
    </row>
    <row r="9" spans="1:41" ht="15" customHeight="1" x14ac:dyDescent="0.25">
      <c r="A9" s="4">
        <v>7</v>
      </c>
      <c r="B9" s="5" t="s">
        <v>15</v>
      </c>
      <c r="C9" s="6">
        <v>0.5</v>
      </c>
      <c r="D9" s="4" t="s">
        <v>46</v>
      </c>
      <c r="E9" s="30" t="str">
        <f>V7</f>
        <v>Szent Erzsébet Ált Isk Egom</v>
      </c>
      <c r="F9" s="30"/>
      <c r="G9" s="7">
        <v>31</v>
      </c>
      <c r="H9" s="8">
        <v>5</v>
      </c>
      <c r="I9" s="31" t="str">
        <f>V4</f>
        <v>Gedói Ált Isk Szeged</v>
      </c>
      <c r="J9" s="32"/>
      <c r="K9" t="s">
        <v>52</v>
      </c>
      <c r="L9" s="18"/>
      <c r="M9" s="18"/>
      <c r="N9" s="18"/>
      <c r="O9" s="18"/>
      <c r="P9" s="18"/>
      <c r="Q9" s="18"/>
      <c r="R9" s="18"/>
      <c r="S9" s="18"/>
      <c r="U9" s="2"/>
      <c r="V9" s="10"/>
      <c r="W9" s="11"/>
      <c r="X9" s="11"/>
      <c r="Y9" s="11"/>
      <c r="Z9" s="11"/>
      <c r="AA9" s="11"/>
      <c r="AB9" s="11"/>
      <c r="AF9" s="2" t="str">
        <f>E10</f>
        <v>Mátyás Király Ált Isk Kmét</v>
      </c>
      <c r="AG9">
        <f t="shared" si="0"/>
        <v>0</v>
      </c>
      <c r="AH9" s="3" t="str">
        <f t="shared" si="1"/>
        <v>Mátyás Király Ált Isk Kmét</v>
      </c>
      <c r="AI9">
        <f t="shared" si="2"/>
        <v>47</v>
      </c>
      <c r="AJ9" s="3" t="str">
        <f t="shared" si="2"/>
        <v>Kós Károly Szakképzőisk Érd</v>
      </c>
      <c r="AK9">
        <f t="shared" si="3"/>
        <v>47</v>
      </c>
      <c r="AL9" s="3" t="str">
        <f t="shared" si="3"/>
        <v>Kós Károly Szakképzőisk Érd</v>
      </c>
      <c r="AM9">
        <f t="shared" si="4"/>
        <v>0</v>
      </c>
      <c r="AN9" t="str">
        <f t="shared" si="5"/>
        <v>Mátyás Király Ált Isk Kmét_lose</v>
      </c>
      <c r="AO9" t="str">
        <f t="shared" si="6"/>
        <v>Kós Károly Szakképzőisk Érd_win</v>
      </c>
    </row>
    <row r="10" spans="1:41" ht="15" customHeight="1" x14ac:dyDescent="0.25">
      <c r="A10" s="12">
        <v>8</v>
      </c>
      <c r="B10" s="13" t="s">
        <v>15</v>
      </c>
      <c r="C10" s="14">
        <v>0.51388888888888895</v>
      </c>
      <c r="D10" s="12" t="s">
        <v>46</v>
      </c>
      <c r="E10" s="30" t="str">
        <f>V6</f>
        <v>Mátyás Király Ált Isk Kmét</v>
      </c>
      <c r="F10" s="30"/>
      <c r="G10" s="15">
        <v>0</v>
      </c>
      <c r="H10" s="8">
        <v>47</v>
      </c>
      <c r="I10" s="31" t="str">
        <f>V3</f>
        <v>Kós Károly Szakképzőisk Érd</v>
      </c>
      <c r="J10" s="32"/>
      <c r="K10" t="s">
        <v>53</v>
      </c>
      <c r="L10" s="18"/>
      <c r="M10" s="18"/>
      <c r="N10" s="18"/>
      <c r="O10" s="18"/>
      <c r="P10" s="18"/>
      <c r="Q10" s="18"/>
      <c r="R10" s="18"/>
      <c r="S10" s="18"/>
      <c r="U10" s="2"/>
      <c r="V10" s="10"/>
      <c r="W10" s="11"/>
      <c r="X10" s="11"/>
      <c r="Y10" s="11"/>
      <c r="Z10" s="11"/>
      <c r="AA10" s="11"/>
      <c r="AB10" s="11"/>
      <c r="AF10" s="2" t="str">
        <f t="shared" ref="AF10:AF11" si="12">E11</f>
        <v>Hungária Általános Iskola Bp</v>
      </c>
      <c r="AG10">
        <f t="shared" si="0"/>
        <v>14</v>
      </c>
      <c r="AH10" s="3" t="str">
        <f t="shared" si="1"/>
        <v>Hungária Általános Iskola Bp</v>
      </c>
      <c r="AI10">
        <f t="shared" si="2"/>
        <v>29</v>
      </c>
      <c r="AJ10" s="3" t="str">
        <f t="shared" si="2"/>
        <v>Szent Erzsébet Ált Isk Egom</v>
      </c>
      <c r="AK10">
        <f t="shared" si="3"/>
        <v>29</v>
      </c>
      <c r="AL10" s="3" t="str">
        <f t="shared" si="3"/>
        <v>Szent Erzsébet Ált Isk Egom</v>
      </c>
      <c r="AM10">
        <f t="shared" si="4"/>
        <v>14</v>
      </c>
      <c r="AN10" t="str">
        <f t="shared" si="5"/>
        <v>Hungária Általános Iskola Bp_lose</v>
      </c>
      <c r="AO10" t="str">
        <f t="shared" si="6"/>
        <v>Szent Erzsébet Ált Isk Egom_win</v>
      </c>
    </row>
    <row r="11" spans="1:41" x14ac:dyDescent="0.25">
      <c r="A11" s="12">
        <v>9</v>
      </c>
      <c r="B11" s="13" t="s">
        <v>15</v>
      </c>
      <c r="C11" s="14">
        <v>0.52777777777777801</v>
      </c>
      <c r="D11" s="12" t="s">
        <v>46</v>
      </c>
      <c r="E11" s="70" t="str">
        <f>V5</f>
        <v>Hungária Általános Iskola Bp</v>
      </c>
      <c r="F11" s="70"/>
      <c r="G11" s="7">
        <v>14</v>
      </c>
      <c r="H11" s="16">
        <v>29</v>
      </c>
      <c r="I11" s="70" t="str">
        <f>V7</f>
        <v>Szent Erzsébet Ált Isk Egom</v>
      </c>
      <c r="J11" s="71"/>
      <c r="K11" t="s">
        <v>53</v>
      </c>
      <c r="L11" s="18"/>
      <c r="M11" s="18"/>
      <c r="N11" s="18"/>
      <c r="O11" s="18"/>
      <c r="P11" s="18"/>
      <c r="Q11" s="18"/>
      <c r="R11" s="18"/>
      <c r="S11" s="18"/>
      <c r="U11" s="2"/>
      <c r="V11" s="10"/>
      <c r="W11" s="11"/>
      <c r="X11" s="11"/>
      <c r="Y11" s="11"/>
      <c r="Z11" s="11"/>
      <c r="AA11" s="11"/>
      <c r="AB11" s="11"/>
      <c r="AF11" s="2" t="str">
        <f t="shared" si="12"/>
        <v>Gedói Ált Isk Szeged</v>
      </c>
      <c r="AG11">
        <f t="shared" si="0"/>
        <v>14</v>
      </c>
      <c r="AH11" s="3" t="str">
        <f t="shared" si="1"/>
        <v>Gedói Ált Isk Szeged</v>
      </c>
      <c r="AI11">
        <f t="shared" si="2"/>
        <v>5</v>
      </c>
      <c r="AJ11" s="3" t="str">
        <f>I12</f>
        <v>Mátyás Király Ált Isk Kmét</v>
      </c>
      <c r="AK11">
        <f t="shared" si="3"/>
        <v>5</v>
      </c>
      <c r="AL11" s="3" t="str">
        <f t="shared" si="3"/>
        <v>Mátyás Király Ált Isk Kmét</v>
      </c>
      <c r="AM11">
        <f t="shared" si="4"/>
        <v>14</v>
      </c>
      <c r="AN11" t="str">
        <f t="shared" si="5"/>
        <v>Gedói Ált Isk Szeged_win</v>
      </c>
      <c r="AO11" t="str">
        <f t="shared" si="6"/>
        <v>Mátyás Király Ált Isk Kmét_lose</v>
      </c>
    </row>
    <row r="12" spans="1:41" ht="15" customHeight="1" thickBot="1" x14ac:dyDescent="0.3">
      <c r="A12" s="12">
        <v>10</v>
      </c>
      <c r="B12" s="13" t="s">
        <v>15</v>
      </c>
      <c r="C12" s="14">
        <v>0.54166666666666696</v>
      </c>
      <c r="D12" s="12" t="s">
        <v>46</v>
      </c>
      <c r="E12" s="31" t="str">
        <f>V4</f>
        <v>Gedói Ált Isk Szeged</v>
      </c>
      <c r="F12" s="31"/>
      <c r="G12" s="15">
        <v>14</v>
      </c>
      <c r="H12" s="8">
        <v>5</v>
      </c>
      <c r="I12" s="30" t="str">
        <f>V6</f>
        <v>Mátyás Király Ált Isk Kmét</v>
      </c>
      <c r="J12" s="44"/>
      <c r="K12" t="s">
        <v>53</v>
      </c>
      <c r="U12" s="2"/>
      <c r="V12" s="10"/>
      <c r="W12" s="11"/>
      <c r="X12" s="11"/>
      <c r="Y12" s="11"/>
      <c r="Z12" s="11"/>
      <c r="AA12" s="11"/>
      <c r="AB12" s="11"/>
      <c r="AH12" s="3"/>
    </row>
    <row r="13" spans="1:41" ht="15" customHeight="1" x14ac:dyDescent="0.25">
      <c r="A13" s="33" t="s">
        <v>16</v>
      </c>
      <c r="B13" s="34"/>
      <c r="C13" s="34"/>
      <c r="D13" s="34"/>
      <c r="E13" s="34"/>
      <c r="F13" s="34"/>
      <c r="G13" s="75" t="str">
        <f>L3</f>
        <v>Kós Károly Szakképzőisk Érd</v>
      </c>
      <c r="H13" s="76"/>
      <c r="I13" s="76"/>
      <c r="J13" s="77"/>
      <c r="U13" s="2"/>
      <c r="V13" s="10"/>
      <c r="W13" s="11"/>
      <c r="X13" s="11"/>
      <c r="Y13" s="11"/>
      <c r="Z13" s="11"/>
      <c r="AA13" s="11"/>
      <c r="AB13" s="11"/>
    </row>
    <row r="14" spans="1:41" ht="15.75" thickBot="1" x14ac:dyDescent="0.3">
      <c r="A14" s="35"/>
      <c r="B14" s="36"/>
      <c r="C14" s="36"/>
      <c r="D14" s="36"/>
      <c r="E14" s="36"/>
      <c r="F14" s="36"/>
      <c r="G14" s="78"/>
      <c r="H14" s="79"/>
      <c r="I14" s="79"/>
      <c r="J14" s="80"/>
    </row>
    <row r="15" spans="1:41" ht="1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41" ht="1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20"/>
      <c r="B17" s="21"/>
      <c r="C17" s="22"/>
      <c r="D17" s="20"/>
      <c r="E17" s="43"/>
      <c r="F17" s="43"/>
      <c r="G17" s="20"/>
      <c r="H17" s="20"/>
      <c r="I17" s="43"/>
      <c r="J17" s="43"/>
    </row>
  </sheetData>
  <mergeCells count="30">
    <mergeCell ref="AL1:AM1"/>
    <mergeCell ref="A1:J2"/>
    <mergeCell ref="K1:K2"/>
    <mergeCell ref="AF1:AG1"/>
    <mergeCell ref="AH1:AI1"/>
    <mergeCell ref="AJ1:AK1"/>
    <mergeCell ref="E3:F3"/>
    <mergeCell ref="I3:J3"/>
    <mergeCell ref="E4:F4"/>
    <mergeCell ref="I4:J4"/>
    <mergeCell ref="E5:F5"/>
    <mergeCell ref="I5:J5"/>
    <mergeCell ref="E6:F6"/>
    <mergeCell ref="I6:J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A13:F14"/>
    <mergeCell ref="G13:J14"/>
    <mergeCell ref="E17:F17"/>
    <mergeCell ref="I17:J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17"/>
  <sheetViews>
    <sheetView workbookViewId="0">
      <selection activeCell="G13" sqref="G13:J14"/>
    </sheetView>
  </sheetViews>
  <sheetFormatPr defaultColWidth="8.85546875" defaultRowHeight="15" x14ac:dyDescent="0.25"/>
  <cols>
    <col min="1" max="1" width="3" bestFit="1" customWidth="1"/>
    <col min="2" max="2" width="24" bestFit="1" customWidth="1"/>
    <col min="3" max="3" width="5.42578125" bestFit="1" customWidth="1"/>
    <col min="4" max="4" width="10.85546875" bestFit="1" customWidth="1"/>
    <col min="7" max="8" width="3" bestFit="1" customWidth="1"/>
    <col min="11" max="11" width="11.5703125" bestFit="1" customWidth="1"/>
    <col min="12" max="12" width="16.42578125" bestFit="1" customWidth="1"/>
    <col min="21" max="21" width="5" bestFit="1" customWidth="1"/>
    <col min="23" max="23" width="4.140625" bestFit="1" customWidth="1"/>
    <col min="24" max="24" width="5.140625" bestFit="1" customWidth="1"/>
    <col min="25" max="25" width="4.42578125" bestFit="1" customWidth="1"/>
    <col min="26" max="27" width="3" bestFit="1" customWidth="1"/>
    <col min="28" max="28" width="3.7109375" bestFit="1" customWidth="1"/>
    <col min="29" max="29" width="11" bestFit="1" customWidth="1"/>
  </cols>
  <sheetData>
    <row r="1" spans="1:41" x14ac:dyDescent="0.25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6"/>
      <c r="K1" s="60" t="s">
        <v>0</v>
      </c>
      <c r="AF1" s="61" t="s">
        <v>1</v>
      </c>
      <c r="AG1" s="61"/>
      <c r="AH1" s="61" t="s">
        <v>2</v>
      </c>
      <c r="AI1" s="61"/>
      <c r="AJ1" s="61" t="s">
        <v>1</v>
      </c>
      <c r="AK1" s="61"/>
      <c r="AL1" s="61" t="s">
        <v>2</v>
      </c>
      <c r="AM1" s="61"/>
    </row>
    <row r="2" spans="1:41" ht="15.75" thickBot="1" x14ac:dyDescent="0.3">
      <c r="A2" s="57"/>
      <c r="B2" s="58"/>
      <c r="C2" s="58"/>
      <c r="D2" s="58"/>
      <c r="E2" s="58"/>
      <c r="F2" s="58"/>
      <c r="G2" s="58"/>
      <c r="H2" s="58"/>
      <c r="I2" s="58"/>
      <c r="J2" s="59"/>
      <c r="K2" s="60"/>
      <c r="L2" s="1" t="s">
        <v>3</v>
      </c>
      <c r="M2" s="1" t="s">
        <v>4</v>
      </c>
      <c r="N2" s="1" t="s">
        <v>5</v>
      </c>
      <c r="O2" s="1" t="s">
        <v>6</v>
      </c>
      <c r="P2" s="1"/>
      <c r="Q2" s="1"/>
      <c r="R2" s="1"/>
      <c r="S2" s="1" t="s">
        <v>7</v>
      </c>
      <c r="U2" s="2" t="s">
        <v>8</v>
      </c>
      <c r="V2" s="2"/>
      <c r="W2" s="2" t="s">
        <v>9</v>
      </c>
      <c r="X2" s="2" t="s">
        <v>10</v>
      </c>
      <c r="Y2" s="2" t="s">
        <v>11</v>
      </c>
      <c r="Z2" s="2" t="s">
        <v>12</v>
      </c>
      <c r="AA2" s="2" t="s">
        <v>13</v>
      </c>
      <c r="AB2" s="2" t="s">
        <v>7</v>
      </c>
      <c r="AC2" s="2" t="s">
        <v>14</v>
      </c>
      <c r="AF2" s="2" t="str">
        <f>E3</f>
        <v>Rókus 1 Szeged</v>
      </c>
      <c r="AG2">
        <f>G3</f>
        <v>55</v>
      </c>
      <c r="AH2" s="3" t="str">
        <f>E3</f>
        <v>Rókus 1 Szeged</v>
      </c>
      <c r="AI2">
        <f>H3</f>
        <v>5</v>
      </c>
      <c r="AJ2" s="3" t="str">
        <f>I3</f>
        <v>Táncsics Szfvár</v>
      </c>
      <c r="AK2">
        <f>H3</f>
        <v>5</v>
      </c>
      <c r="AL2" s="3" t="str">
        <f>I3</f>
        <v>Táncsics Szfvár</v>
      </c>
      <c r="AM2">
        <f>G3</f>
        <v>55</v>
      </c>
      <c r="AN2" t="str">
        <f>IF(G3="","",IF(H3="","",IF(G3&gt;H3,CONCATENATE(E3,"_win"),IF(G3&lt;H3,CONCATENATE(E3,"_lose"),CONCATENATE(E3,"_draw")))))</f>
        <v>Rókus 1 Szeged_win</v>
      </c>
      <c r="AO2" t="str">
        <f>IF(G3="","",IF(H3="","",IF(G3&gt;H3,CONCATENATE(I3,"_lose"),IF(G3&lt;H3,CONCATENATE(I3,"_win"),CONCATENATE(I3,"_draw")))))</f>
        <v>Táncsics Szfvár_lose</v>
      </c>
    </row>
    <row r="3" spans="1:41" x14ac:dyDescent="0.25">
      <c r="A3" s="4">
        <v>1</v>
      </c>
      <c r="B3" s="5" t="s">
        <v>15</v>
      </c>
      <c r="C3" s="6">
        <v>0.41666666666666669</v>
      </c>
      <c r="D3" s="4" t="s">
        <v>48</v>
      </c>
      <c r="E3" s="51" t="str">
        <f>V3</f>
        <v>Rókus 1 Szeged</v>
      </c>
      <c r="F3" s="51"/>
      <c r="G3" s="7">
        <v>55</v>
      </c>
      <c r="H3" s="8">
        <v>5</v>
      </c>
      <c r="I3" s="73" t="str">
        <f>V4</f>
        <v>Táncsics Szfvár</v>
      </c>
      <c r="J3" s="74"/>
      <c r="K3" t="s">
        <v>49</v>
      </c>
      <c r="L3" s="9" t="str">
        <f>VLOOKUP(1,$U$3:$AB$7,2,FALSE)</f>
        <v>Vitéz János Egom</v>
      </c>
      <c r="M3" s="9">
        <f>VLOOKUP(1,$U$3:$AB$7,3,FALSE)</f>
        <v>4</v>
      </c>
      <c r="N3" s="9">
        <f>VLOOKUP(1,$U$3:$AB$7,4,FALSE)</f>
        <v>0</v>
      </c>
      <c r="O3" s="9">
        <f>VLOOKUP(1,$U$3:$AB$7,5,FALSE)</f>
        <v>0</v>
      </c>
      <c r="P3" s="9">
        <f>VLOOKUP(1,$U$3:$AB$7,6,FALSE)</f>
        <v>180</v>
      </c>
      <c r="Q3" s="9">
        <f>VLOOKUP(1,$U$3:$AB$7,7,FALSE)</f>
        <v>10</v>
      </c>
      <c r="R3" s="9">
        <f>P3-Q3</f>
        <v>170</v>
      </c>
      <c r="S3" s="9">
        <f>VLOOKUP(1,$U$3:$AB$7,8,FALSE)</f>
        <v>16</v>
      </c>
      <c r="U3" s="2">
        <f>IF(AC3&lt;AC3,1,0)+IF(AC3&lt;AC4,1,0)+IF(AC3&lt;AC5,1,0)+IF(AC3&lt;AC6,1,0)+IF(AC3&lt;AC7,1,0)+1</f>
        <v>3</v>
      </c>
      <c r="V3" s="10" t="s">
        <v>36</v>
      </c>
      <c r="W3" s="11">
        <f>COUNTIF($AN$2:$AO$11,CONCATENATE(V3,"_win"))</f>
        <v>2</v>
      </c>
      <c r="X3" s="11">
        <f>COUNTIF($AN$2:$AO$11,CONCATENATE(V3,"_draw"))</f>
        <v>0</v>
      </c>
      <c r="Y3" s="11">
        <f>COUNTIF($AN$2:$AO$11,CONCATENATE(V3,"_lose"))</f>
        <v>2</v>
      </c>
      <c r="Z3" s="11">
        <f>SUMIF($AJ$2:$AJ$11,CONCATENATE("=",V3),$AK$2:$AK$11)+SUMIF($AF$2:$AF$11,CONCATENATE("=",V3),$AG$2:$AG$11)</f>
        <v>80</v>
      </c>
      <c r="AA3" s="11">
        <f>SUMIF($AL$2:$AL$11,CONCATENATE("=",V3),$AM$2:$AM$11)+SUMIF($AH$2:$AH$11,CONCATENATE("=",V3),$AI$2:$AI$11)</f>
        <v>65</v>
      </c>
      <c r="AB3" s="11">
        <f>W3*4+X3*2</f>
        <v>8</v>
      </c>
      <c r="AC3">
        <f>0.5+Z3+(Z3-AA3)*100+W3*1000+AB3*10000000</f>
        <v>80003580.5</v>
      </c>
      <c r="AF3" s="2" t="str">
        <f>E4</f>
        <v>Bólyai Érd</v>
      </c>
      <c r="AG3">
        <f t="shared" ref="AG3:AG11" si="0">G4</f>
        <v>5</v>
      </c>
      <c r="AH3" s="3" t="str">
        <f t="shared" ref="AH3:AH11" si="1">E4</f>
        <v>Bólyai Érd</v>
      </c>
      <c r="AI3">
        <f t="shared" ref="AI3:AJ11" si="2">H4</f>
        <v>30</v>
      </c>
      <c r="AJ3" s="3" t="str">
        <f t="shared" si="2"/>
        <v>Vitéz János Egom</v>
      </c>
      <c r="AK3">
        <f t="shared" ref="AK3:AL11" si="3">H4</f>
        <v>30</v>
      </c>
      <c r="AL3" s="3" t="str">
        <f t="shared" si="3"/>
        <v>Vitéz János Egom</v>
      </c>
      <c r="AM3">
        <f t="shared" ref="AM3:AM11" si="4">G4</f>
        <v>5</v>
      </c>
      <c r="AN3" t="str">
        <f t="shared" ref="AN3:AN11" si="5">IF(G4="","",IF(H4="","",IF(G4&gt;H4,CONCATENATE(E4,"_win"),IF(G4&lt;H4,CONCATENATE(E4,"_lose"),CONCATENATE(E4,"_draw")))))</f>
        <v>Bólyai Érd_lose</v>
      </c>
      <c r="AO3" t="str">
        <f t="shared" ref="AO3:AO11" si="6">IF(G4="","",IF(H4="","",IF(G4&gt;H4,CONCATENATE(I4,"_lose"),IF(G4&lt;H4,CONCATENATE(I4,"_win"),CONCATENATE(I4,"_draw")))))</f>
        <v>Vitéz János Egom_win</v>
      </c>
    </row>
    <row r="4" spans="1:41" x14ac:dyDescent="0.25">
      <c r="A4" s="12">
        <v>2</v>
      </c>
      <c r="B4" s="13" t="s">
        <v>15</v>
      </c>
      <c r="C4" s="14">
        <v>0.43055555555555558</v>
      </c>
      <c r="D4" s="12" t="s">
        <v>48</v>
      </c>
      <c r="E4" s="50" t="str">
        <f>V5</f>
        <v>Bólyai Érd</v>
      </c>
      <c r="F4" s="50"/>
      <c r="G4" s="15">
        <v>5</v>
      </c>
      <c r="H4" s="8">
        <v>30</v>
      </c>
      <c r="I4" s="48" t="str">
        <f>V6</f>
        <v>Vitéz János Egom</v>
      </c>
      <c r="J4" s="49"/>
      <c r="K4" t="s">
        <v>49</v>
      </c>
      <c r="L4" s="9" t="str">
        <f>VLOOKUP(2,$U$3:$AB$7,2,FALSE)</f>
        <v>Bólyai Érd</v>
      </c>
      <c r="M4" s="9">
        <f>VLOOKUP(2,$U$3:$AB$7,3,FALSE)</f>
        <v>3</v>
      </c>
      <c r="N4" s="9">
        <f>VLOOKUP(2,$U$3:$AB$7,4,FALSE)</f>
        <v>0</v>
      </c>
      <c r="O4" s="9">
        <f>VLOOKUP(2,$U$3:$AB$7,5,FALSE)</f>
        <v>1</v>
      </c>
      <c r="P4" s="9">
        <f>VLOOKUP(2,$U$3:$AB$7,6,FALSE)</f>
        <v>105</v>
      </c>
      <c r="Q4" s="9">
        <f>VLOOKUP(2,$U$3:$AB$7,7,FALSE)</f>
        <v>30</v>
      </c>
      <c r="R4" s="9">
        <f t="shared" ref="R4:R7" si="7">P4-Q4</f>
        <v>75</v>
      </c>
      <c r="S4" s="9">
        <f>VLOOKUP(2,$U$3:$AB$7,8,FALSE)</f>
        <v>12</v>
      </c>
      <c r="U4" s="2">
        <f>IF(AC4&lt;AC4,1,0)+IF(AC4&lt;AC3,1,0)+IF(AC4&lt;AC5,1,0)+IF(AC4&lt;AC6,1,0)+IF(AC4&lt;AC7,1,0)+1</f>
        <v>5</v>
      </c>
      <c r="V4" s="10" t="s">
        <v>37</v>
      </c>
      <c r="W4" s="11">
        <f>COUNTIF($AN$2:$AO$11,CONCATENATE(V4,"_win"))</f>
        <v>0</v>
      </c>
      <c r="X4" s="11">
        <f>COUNTIF($AN$2:$AO$11,CONCATENATE(V4,"_draw"))</f>
        <v>0</v>
      </c>
      <c r="Y4" s="11">
        <f>COUNTIF($AN$2:$AO$11,CONCATENATE(V4,"_lose"))</f>
        <v>4</v>
      </c>
      <c r="Z4" s="11">
        <f t="shared" ref="Z4:Z7" si="8">SUMIF($AJ$2:$AJ$11,CONCATENATE("=",V4),$AK$2:$AK$11)+SUMIF($AF$2:$AF$11,CONCATENATE("=",V4),$AG$2:$AG$11)</f>
        <v>15</v>
      </c>
      <c r="AA4" s="11">
        <f t="shared" ref="AA4:AA7" si="9">SUMIF($AL$2:$AL$11,CONCATENATE("=",V4),$AM$2:$AM$11)+SUMIF($AH$2:$AH$11,CONCATENATE("=",V4),$AI$2:$AI$11)</f>
        <v>230</v>
      </c>
      <c r="AB4" s="11">
        <f t="shared" ref="AB4:AB7" si="10">W4*4+X4*2</f>
        <v>0</v>
      </c>
      <c r="AC4">
        <f>0.4+Z4+(Z4-AA4)*100+W4*1000+AB4*10000000</f>
        <v>-21484.6</v>
      </c>
      <c r="AF4" s="2" t="str">
        <f t="shared" ref="AF4:AF7" si="11">E5</f>
        <v>Lycée Francais Bp</v>
      </c>
      <c r="AG4">
        <f t="shared" si="0"/>
        <v>10</v>
      </c>
      <c r="AH4" s="3" t="str">
        <f t="shared" si="1"/>
        <v>Lycée Francais Bp</v>
      </c>
      <c r="AI4">
        <f t="shared" si="2"/>
        <v>25</v>
      </c>
      <c r="AJ4" s="3" t="str">
        <f t="shared" si="2"/>
        <v>Rókus 1 Szeged</v>
      </c>
      <c r="AK4">
        <f t="shared" si="3"/>
        <v>25</v>
      </c>
      <c r="AL4" s="3" t="str">
        <f t="shared" si="3"/>
        <v>Rókus 1 Szeged</v>
      </c>
      <c r="AM4">
        <f t="shared" si="4"/>
        <v>10</v>
      </c>
      <c r="AN4" t="str">
        <f t="shared" si="5"/>
        <v>Lycée Francais Bp_lose</v>
      </c>
      <c r="AO4" t="str">
        <f t="shared" si="6"/>
        <v>Rókus 1 Szeged_win</v>
      </c>
    </row>
    <row r="5" spans="1:41" x14ac:dyDescent="0.25">
      <c r="A5" s="12">
        <v>3</v>
      </c>
      <c r="B5" s="13" t="s">
        <v>15</v>
      </c>
      <c r="C5" s="14">
        <v>0.44444444444444398</v>
      </c>
      <c r="D5" s="12" t="s">
        <v>48</v>
      </c>
      <c r="E5" s="50" t="str">
        <f>V7</f>
        <v>Lycée Francais Bp</v>
      </c>
      <c r="F5" s="50"/>
      <c r="G5" s="7">
        <v>10</v>
      </c>
      <c r="H5" s="16">
        <v>25</v>
      </c>
      <c r="I5" s="48" t="str">
        <f>V3</f>
        <v>Rókus 1 Szeged</v>
      </c>
      <c r="J5" s="49"/>
      <c r="K5" t="s">
        <v>49</v>
      </c>
      <c r="L5" s="9" t="str">
        <f>VLOOKUP(3,$U$3:$AB$7,2,FALSE)</f>
        <v>Rókus 1 Szeged</v>
      </c>
      <c r="M5" s="9">
        <f>VLOOKUP(3,$U$3:$AB$7,3,FALSE)</f>
        <v>2</v>
      </c>
      <c r="N5" s="9">
        <f>VLOOKUP(3,$U$3:$AB$7,4,FALSE)</f>
        <v>0</v>
      </c>
      <c r="O5" s="9">
        <f>VLOOKUP(3,$U$3:$AB$7,5,FALSE)</f>
        <v>2</v>
      </c>
      <c r="P5" s="9">
        <f>VLOOKUP(3,$U$3:$AB$7,6,FALSE)</f>
        <v>80</v>
      </c>
      <c r="Q5" s="9">
        <f>VLOOKUP(3,$U$3:$AB$7,7,FALSE)</f>
        <v>65</v>
      </c>
      <c r="R5" s="9">
        <f>P5-Q5</f>
        <v>15</v>
      </c>
      <c r="S5" s="9">
        <f>VLOOKUP(3,$U$3:$AB$7,8,FALSE)</f>
        <v>8</v>
      </c>
      <c r="U5" s="2">
        <f>IF(AC5&lt;AC5,1,0)+IF(AC5&lt;AC3,1,0)+IF(AC5&lt;AC4,1,0)+IF(AC5&lt;AC6,1,0)+IF(AC5&lt;AC7,1,0)+1</f>
        <v>2</v>
      </c>
      <c r="V5" s="10" t="s">
        <v>38</v>
      </c>
      <c r="W5" s="11">
        <f>COUNTIF($AN$2:$AO$11,CONCATENATE(V5,"_win"))</f>
        <v>3</v>
      </c>
      <c r="X5" s="11">
        <f>COUNTIF($AN$2:$AO$11,CONCATENATE(V5,"_draw"))</f>
        <v>0</v>
      </c>
      <c r="Y5" s="11">
        <f>COUNTIF($AN$2:$AO$11,CONCATENATE(V5,"_lose"))</f>
        <v>1</v>
      </c>
      <c r="Z5" s="11">
        <f t="shared" si="8"/>
        <v>105</v>
      </c>
      <c r="AA5" s="11">
        <f t="shared" si="9"/>
        <v>30</v>
      </c>
      <c r="AB5" s="11">
        <f t="shared" si="10"/>
        <v>12</v>
      </c>
      <c r="AC5">
        <f>0.3+Z5+(Z5-AA5)*100+W5*1000+AB5*10000000</f>
        <v>120010605.3</v>
      </c>
      <c r="AF5" s="2" t="str">
        <f t="shared" si="11"/>
        <v>Táncsics Szfvár</v>
      </c>
      <c r="AG5">
        <f t="shared" si="0"/>
        <v>0</v>
      </c>
      <c r="AH5" s="3" t="str">
        <f t="shared" si="1"/>
        <v>Táncsics Szfvár</v>
      </c>
      <c r="AI5">
        <f t="shared" si="2"/>
        <v>50</v>
      </c>
      <c r="AJ5" s="3" t="str">
        <f t="shared" si="2"/>
        <v>Bólyai Érd</v>
      </c>
      <c r="AK5">
        <f t="shared" si="3"/>
        <v>50</v>
      </c>
      <c r="AL5" s="3" t="str">
        <f t="shared" si="3"/>
        <v>Bólyai Érd</v>
      </c>
      <c r="AM5">
        <f t="shared" si="4"/>
        <v>0</v>
      </c>
      <c r="AN5" t="str">
        <f t="shared" si="5"/>
        <v>Táncsics Szfvár_lose</v>
      </c>
      <c r="AO5" t="str">
        <f t="shared" si="6"/>
        <v>Bólyai Érd_win</v>
      </c>
    </row>
    <row r="6" spans="1:41" x14ac:dyDescent="0.25">
      <c r="A6" s="12">
        <v>4</v>
      </c>
      <c r="B6" s="13" t="s">
        <v>15</v>
      </c>
      <c r="C6" s="14">
        <v>0.45833333333333298</v>
      </c>
      <c r="D6" s="12" t="s">
        <v>48</v>
      </c>
      <c r="E6" s="50" t="str">
        <f>V4</f>
        <v>Táncsics Szfvár</v>
      </c>
      <c r="F6" s="50"/>
      <c r="G6" s="15">
        <v>0</v>
      </c>
      <c r="H6" s="8">
        <v>50</v>
      </c>
      <c r="I6" s="48" t="str">
        <f>V5</f>
        <v>Bólyai Érd</v>
      </c>
      <c r="J6" s="49"/>
      <c r="K6" t="s">
        <v>49</v>
      </c>
      <c r="L6" s="9" t="str">
        <f>VLOOKUP(4,$U$3:$AB$7,2,FALSE)</f>
        <v>Lycée Francais Bp</v>
      </c>
      <c r="M6" s="9">
        <f>VLOOKUP(4,$U$3:$AB$7,3,FALSE)</f>
        <v>1</v>
      </c>
      <c r="N6" s="9">
        <f>VLOOKUP(4,$U$3:$AB$7,4,FALSE)</f>
        <v>0</v>
      </c>
      <c r="O6" s="9">
        <f>VLOOKUP(4,$U$3:$AB$7,5,FALSE)</f>
        <v>3</v>
      </c>
      <c r="P6" s="9">
        <f>VLOOKUP(4,$U$3:$AB$7,6,FALSE)</f>
        <v>55</v>
      </c>
      <c r="Q6" s="9">
        <f>VLOOKUP(4,$U$3:$AB$7,7,FALSE)</f>
        <v>100</v>
      </c>
      <c r="R6" s="9">
        <f>P6-Q6</f>
        <v>-45</v>
      </c>
      <c r="S6" s="9">
        <f>VLOOKUP(4,$U$3:$AB$7,8,FALSE)</f>
        <v>4</v>
      </c>
      <c r="U6" s="2">
        <f>IF(AC6&lt;AC6,1,0)+IF(AC6&lt;AC7,1,0)+IF(AC6&lt;AC3,1,0)+IF(AC6&lt;AC4,1,0)+IF(AC6&lt;AC5,1,0)+1</f>
        <v>1</v>
      </c>
      <c r="V6" s="10" t="s">
        <v>39</v>
      </c>
      <c r="W6" s="11">
        <f>COUNTIF($AN$2:$AO$11,CONCATENATE(V6,"_win"))</f>
        <v>4</v>
      </c>
      <c r="X6" s="11">
        <f>COUNTIF($AN$2:$AO$11,CONCATENATE(V6,"_draw"))</f>
        <v>0</v>
      </c>
      <c r="Y6" s="11">
        <f>COUNTIF($AN$2:$AO$11,CONCATENATE(V6,"_lose"))</f>
        <v>0</v>
      </c>
      <c r="Z6" s="11">
        <f t="shared" si="8"/>
        <v>180</v>
      </c>
      <c r="AA6" s="11">
        <f t="shared" si="9"/>
        <v>10</v>
      </c>
      <c r="AB6" s="11">
        <f>W6*4+X6*2</f>
        <v>16</v>
      </c>
      <c r="AC6">
        <f>0.2+Z6+(Z6-AA6)*100+W6*1000+AB6*10000000</f>
        <v>160021180.19999999</v>
      </c>
      <c r="AF6" s="2" t="str">
        <f t="shared" si="11"/>
        <v>Vitéz János Egom</v>
      </c>
      <c r="AG6">
        <f t="shared" si="0"/>
        <v>35</v>
      </c>
      <c r="AH6" s="3" t="str">
        <f t="shared" si="1"/>
        <v>Vitéz János Egom</v>
      </c>
      <c r="AI6">
        <f t="shared" si="2"/>
        <v>5</v>
      </c>
      <c r="AJ6" s="3" t="str">
        <f t="shared" si="2"/>
        <v>Lycée Francais Bp</v>
      </c>
      <c r="AK6">
        <f t="shared" si="3"/>
        <v>5</v>
      </c>
      <c r="AL6" s="3" t="str">
        <f t="shared" si="3"/>
        <v>Lycée Francais Bp</v>
      </c>
      <c r="AM6">
        <f t="shared" si="4"/>
        <v>35</v>
      </c>
      <c r="AN6" t="str">
        <f t="shared" si="5"/>
        <v>Vitéz János Egom_win</v>
      </c>
      <c r="AO6" t="str">
        <f t="shared" si="6"/>
        <v>Lycée Francais Bp_lose</v>
      </c>
    </row>
    <row r="7" spans="1:41" x14ac:dyDescent="0.25">
      <c r="A7" s="12">
        <v>5</v>
      </c>
      <c r="B7" s="13" t="s">
        <v>15</v>
      </c>
      <c r="C7" s="14">
        <v>0.47222222222222199</v>
      </c>
      <c r="D7" s="12" t="s">
        <v>48</v>
      </c>
      <c r="E7" s="50" t="str">
        <f>V6</f>
        <v>Vitéz János Egom</v>
      </c>
      <c r="F7" s="50"/>
      <c r="G7" s="7">
        <v>35</v>
      </c>
      <c r="H7" s="8">
        <v>5</v>
      </c>
      <c r="I7" s="48" t="str">
        <f>V7</f>
        <v>Lycée Francais Bp</v>
      </c>
      <c r="J7" s="49"/>
      <c r="K7" t="s">
        <v>49</v>
      </c>
      <c r="L7" s="9" t="str">
        <f>VLOOKUP(5,$U$3:$AB$7,2,FALSE)</f>
        <v>Táncsics Szfvár</v>
      </c>
      <c r="M7" s="9">
        <f>VLOOKUP(5,$U$3:$AB$7,3,FALSE)</f>
        <v>0</v>
      </c>
      <c r="N7" s="9">
        <f>VLOOKUP(5,$U$3:$AB$7,4,FALSE)</f>
        <v>0</v>
      </c>
      <c r="O7" s="9">
        <f>VLOOKUP(5,$U$3:$AB$7,5,FALSE)</f>
        <v>4</v>
      </c>
      <c r="P7" s="9">
        <f>VLOOKUP(5,$U$3:$AB$7,6,FALSE)</f>
        <v>15</v>
      </c>
      <c r="Q7" s="9">
        <f>VLOOKUP(5,$U$3:$AB$7,7,FALSE)</f>
        <v>230</v>
      </c>
      <c r="R7" s="9">
        <f t="shared" si="7"/>
        <v>-215</v>
      </c>
      <c r="S7" s="9">
        <f>VLOOKUP(5,$U$3:$AB$7,8,FALSE)</f>
        <v>0</v>
      </c>
      <c r="U7" s="2">
        <f>IF(AC7&lt;AC7,1,0)+IF(AC7&lt;AC6,1,0)+IF(AC7&lt;AC3,1,0)+IF(AC7&lt;AC4,1,0)+IF(AC7&lt;AC5,1,0)+1</f>
        <v>4</v>
      </c>
      <c r="V7" s="10" t="s">
        <v>40</v>
      </c>
      <c r="W7" s="11">
        <f>COUNTIF($AN$2:$AO$11,CONCATENATE(V7,"_win"))</f>
        <v>1</v>
      </c>
      <c r="X7" s="11">
        <f>COUNTIF($AN$2:$AO$11,CONCATENATE(V7,"_draw"))</f>
        <v>0</v>
      </c>
      <c r="Y7" s="11">
        <f>COUNTIF($AN$2:$AO$11,CONCATENATE(V7,"_lose"))</f>
        <v>3</v>
      </c>
      <c r="Z7" s="11">
        <f t="shared" si="8"/>
        <v>55</v>
      </c>
      <c r="AA7" s="11">
        <f t="shared" si="9"/>
        <v>100</v>
      </c>
      <c r="AB7" s="11">
        <f t="shared" si="10"/>
        <v>4</v>
      </c>
      <c r="AC7">
        <f>0.1+Z7+(Z7-AA7)*100+W7*1000+AB7*10000000</f>
        <v>39996555.100000001</v>
      </c>
      <c r="AF7" s="2" t="str">
        <f t="shared" si="11"/>
        <v>Rókus 1 Szeged</v>
      </c>
      <c r="AG7">
        <f t="shared" si="0"/>
        <v>0</v>
      </c>
      <c r="AH7" s="3" t="str">
        <f t="shared" si="1"/>
        <v>Rókus 1 Szeged</v>
      </c>
      <c r="AI7">
        <f t="shared" si="2"/>
        <v>20</v>
      </c>
      <c r="AJ7" s="3" t="str">
        <f t="shared" si="2"/>
        <v>Bólyai Érd</v>
      </c>
      <c r="AK7">
        <f t="shared" si="3"/>
        <v>20</v>
      </c>
      <c r="AL7" s="3" t="str">
        <f t="shared" si="3"/>
        <v>Bólyai Érd</v>
      </c>
      <c r="AM7">
        <f t="shared" si="4"/>
        <v>0</v>
      </c>
      <c r="AN7" t="str">
        <f t="shared" si="5"/>
        <v>Rókus 1 Szeged_lose</v>
      </c>
      <c r="AO7" t="str">
        <f t="shared" si="6"/>
        <v>Bólyai Érd_win</v>
      </c>
    </row>
    <row r="8" spans="1:41" x14ac:dyDescent="0.25">
      <c r="A8" s="12">
        <v>6</v>
      </c>
      <c r="B8" s="13" t="s">
        <v>15</v>
      </c>
      <c r="C8" s="14">
        <v>0.48611111111111099</v>
      </c>
      <c r="D8" s="12" t="s">
        <v>48</v>
      </c>
      <c r="E8" s="50" t="str">
        <f>V3</f>
        <v>Rókus 1 Szeged</v>
      </c>
      <c r="F8" s="50"/>
      <c r="G8" s="15">
        <v>0</v>
      </c>
      <c r="H8" s="16">
        <v>20</v>
      </c>
      <c r="I8" s="50" t="str">
        <f>V5</f>
        <v>Bólyai Érd</v>
      </c>
      <c r="J8" s="49"/>
      <c r="K8" t="s">
        <v>49</v>
      </c>
      <c r="L8" s="17"/>
      <c r="M8" s="17"/>
      <c r="N8" s="17"/>
      <c r="O8" s="17"/>
      <c r="P8" s="17"/>
      <c r="Q8" s="17"/>
      <c r="R8" s="17"/>
      <c r="S8" s="17"/>
      <c r="U8" s="2"/>
      <c r="V8" s="10"/>
      <c r="W8" s="11"/>
      <c r="X8" s="11"/>
      <c r="Y8" s="11"/>
      <c r="Z8" s="11"/>
      <c r="AA8" s="11"/>
      <c r="AB8" s="11"/>
      <c r="AF8" s="2" t="str">
        <f>E9</f>
        <v>Lycée Francais Bp</v>
      </c>
      <c r="AG8">
        <f>G9</f>
        <v>40</v>
      </c>
      <c r="AH8" s="3" t="str">
        <f>E9</f>
        <v>Lycée Francais Bp</v>
      </c>
      <c r="AI8">
        <f>H9</f>
        <v>10</v>
      </c>
      <c r="AJ8" s="3" t="str">
        <f>I9</f>
        <v>Táncsics Szfvár</v>
      </c>
      <c r="AK8">
        <f>H9</f>
        <v>10</v>
      </c>
      <c r="AL8" s="3" t="str">
        <f>I9</f>
        <v>Táncsics Szfvár</v>
      </c>
      <c r="AM8">
        <f>G9</f>
        <v>40</v>
      </c>
      <c r="AN8" t="str">
        <f>IF(G9="","",IF(H9="","",IF(G9&gt;H9,CONCATENATE(E9,"_win"),IF(G9&lt;H9,CONCATENATE(E9,"_lose"),CONCATENATE(E9,"_draw")))))</f>
        <v>Lycée Francais Bp_win</v>
      </c>
      <c r="AO8" t="str">
        <f>IF(G9="","",IF(H9="","",IF(G9&gt;H9,CONCATENATE(I9,"_lose"),IF(G9&lt;H9,CONCATENATE(I9,"_win"),CONCATENATE(I9,"_draw")))))</f>
        <v>Táncsics Szfvár_lose</v>
      </c>
    </row>
    <row r="9" spans="1:41" ht="15" customHeight="1" x14ac:dyDescent="0.25">
      <c r="A9" s="4">
        <v>7</v>
      </c>
      <c r="B9" s="5" t="s">
        <v>15</v>
      </c>
      <c r="C9" s="6">
        <v>0.5</v>
      </c>
      <c r="D9" s="4" t="s">
        <v>48</v>
      </c>
      <c r="E9" s="31" t="str">
        <f>V7</f>
        <v>Lycée Francais Bp</v>
      </c>
      <c r="F9" s="31"/>
      <c r="G9" s="7">
        <v>40</v>
      </c>
      <c r="H9" s="8">
        <v>10</v>
      </c>
      <c r="I9" s="31" t="str">
        <f>V4</f>
        <v>Táncsics Szfvár</v>
      </c>
      <c r="J9" s="32"/>
      <c r="K9" t="s">
        <v>49</v>
      </c>
      <c r="L9" s="18"/>
      <c r="M9" s="18"/>
      <c r="N9" s="18"/>
      <c r="O9" s="18"/>
      <c r="P9" s="18"/>
      <c r="Q9" s="18"/>
      <c r="R9" s="18"/>
      <c r="S9" s="18"/>
      <c r="U9" s="2"/>
      <c r="V9" s="10"/>
      <c r="W9" s="11"/>
      <c r="X9" s="11"/>
      <c r="Y9" s="11"/>
      <c r="Z9" s="11"/>
      <c r="AA9" s="11"/>
      <c r="AB9" s="11"/>
      <c r="AF9" s="2" t="str">
        <f>E10</f>
        <v>Vitéz János Egom</v>
      </c>
      <c r="AG9">
        <f t="shared" si="0"/>
        <v>30</v>
      </c>
      <c r="AH9" s="3" t="str">
        <f t="shared" si="1"/>
        <v>Vitéz János Egom</v>
      </c>
      <c r="AI9">
        <f t="shared" si="2"/>
        <v>0</v>
      </c>
      <c r="AJ9" s="3" t="str">
        <f t="shared" si="2"/>
        <v>Rókus 1 Szeged</v>
      </c>
      <c r="AK9">
        <f t="shared" si="3"/>
        <v>0</v>
      </c>
      <c r="AL9" s="3" t="str">
        <f t="shared" si="3"/>
        <v>Rókus 1 Szeged</v>
      </c>
      <c r="AM9">
        <f t="shared" si="4"/>
        <v>30</v>
      </c>
      <c r="AN9" t="str">
        <f t="shared" si="5"/>
        <v>Vitéz János Egom_win</v>
      </c>
      <c r="AO9" t="str">
        <f t="shared" si="6"/>
        <v>Rókus 1 Szeged_lose</v>
      </c>
    </row>
    <row r="10" spans="1:41" ht="15" customHeight="1" x14ac:dyDescent="0.25">
      <c r="A10" s="12">
        <v>8</v>
      </c>
      <c r="B10" s="13" t="s">
        <v>15</v>
      </c>
      <c r="C10" s="14">
        <v>0.51388888888888895</v>
      </c>
      <c r="D10" s="12" t="s">
        <v>48</v>
      </c>
      <c r="E10" s="31" t="str">
        <f>V6</f>
        <v>Vitéz János Egom</v>
      </c>
      <c r="F10" s="31"/>
      <c r="G10" s="15">
        <v>30</v>
      </c>
      <c r="H10" s="8">
        <v>0</v>
      </c>
      <c r="I10" s="31" t="str">
        <f>V3</f>
        <v>Rókus 1 Szeged</v>
      </c>
      <c r="J10" s="32"/>
      <c r="K10" t="s">
        <v>49</v>
      </c>
      <c r="L10" s="18"/>
      <c r="M10" s="18"/>
      <c r="N10" s="18"/>
      <c r="O10" s="18"/>
      <c r="P10" s="18"/>
      <c r="Q10" s="18"/>
      <c r="R10" s="18"/>
      <c r="S10" s="18"/>
      <c r="U10" s="2"/>
      <c r="V10" s="10"/>
      <c r="W10" s="11"/>
      <c r="X10" s="11"/>
      <c r="Y10" s="11"/>
      <c r="Z10" s="11"/>
      <c r="AA10" s="11"/>
      <c r="AB10" s="11"/>
      <c r="AF10" s="2" t="str">
        <f t="shared" ref="AF10:AF11" si="12">E11</f>
        <v>Bólyai Érd</v>
      </c>
      <c r="AG10">
        <f t="shared" si="0"/>
        <v>30</v>
      </c>
      <c r="AH10" s="3" t="str">
        <f t="shared" si="1"/>
        <v>Bólyai Érd</v>
      </c>
      <c r="AI10">
        <f t="shared" si="2"/>
        <v>0</v>
      </c>
      <c r="AJ10" s="3" t="str">
        <f t="shared" si="2"/>
        <v>Lycée Francais Bp</v>
      </c>
      <c r="AK10">
        <f t="shared" si="3"/>
        <v>0</v>
      </c>
      <c r="AL10" s="3" t="str">
        <f t="shared" si="3"/>
        <v>Lycée Francais Bp</v>
      </c>
      <c r="AM10">
        <f t="shared" si="4"/>
        <v>30</v>
      </c>
      <c r="AN10" t="str">
        <f t="shared" si="5"/>
        <v>Bólyai Érd_win</v>
      </c>
      <c r="AO10" t="str">
        <f t="shared" si="6"/>
        <v>Lycée Francais Bp_lose</v>
      </c>
    </row>
    <row r="11" spans="1:41" x14ac:dyDescent="0.25">
      <c r="A11" s="12">
        <v>9</v>
      </c>
      <c r="B11" s="13" t="s">
        <v>15</v>
      </c>
      <c r="C11" s="14">
        <v>0.52777777777777801</v>
      </c>
      <c r="D11" s="12" t="s">
        <v>48</v>
      </c>
      <c r="E11" s="45" t="str">
        <f>V5</f>
        <v>Bólyai Érd</v>
      </c>
      <c r="F11" s="45"/>
      <c r="G11" s="7">
        <v>30</v>
      </c>
      <c r="H11" s="16">
        <v>0</v>
      </c>
      <c r="I11" s="45" t="str">
        <f>V7</f>
        <v>Lycée Francais Bp</v>
      </c>
      <c r="J11" s="46"/>
      <c r="K11" t="s">
        <v>49</v>
      </c>
      <c r="L11" s="18"/>
      <c r="M11" s="18"/>
      <c r="N11" s="18"/>
      <c r="O11" s="18"/>
      <c r="P11" s="18"/>
      <c r="Q11" s="18"/>
      <c r="R11" s="18"/>
      <c r="S11" s="18"/>
      <c r="U11" s="2"/>
      <c r="V11" s="10"/>
      <c r="W11" s="11"/>
      <c r="X11" s="11"/>
      <c r="Y11" s="11"/>
      <c r="Z11" s="11"/>
      <c r="AA11" s="11"/>
      <c r="AB11" s="11"/>
      <c r="AF11" s="2" t="str">
        <f t="shared" si="12"/>
        <v>Táncsics Szfvár</v>
      </c>
      <c r="AG11">
        <f t="shared" si="0"/>
        <v>0</v>
      </c>
      <c r="AH11" s="3" t="str">
        <f t="shared" si="1"/>
        <v>Táncsics Szfvár</v>
      </c>
      <c r="AI11">
        <f t="shared" si="2"/>
        <v>85</v>
      </c>
      <c r="AJ11" s="3" t="str">
        <f>I12</f>
        <v>Vitéz János Egom</v>
      </c>
      <c r="AK11">
        <f t="shared" si="3"/>
        <v>85</v>
      </c>
      <c r="AL11" s="3" t="str">
        <f t="shared" si="3"/>
        <v>Vitéz János Egom</v>
      </c>
      <c r="AM11">
        <f t="shared" si="4"/>
        <v>0</v>
      </c>
      <c r="AN11" t="str">
        <f t="shared" si="5"/>
        <v>Táncsics Szfvár_lose</v>
      </c>
      <c r="AO11" t="str">
        <f t="shared" si="6"/>
        <v>Vitéz János Egom_win</v>
      </c>
    </row>
    <row r="12" spans="1:41" ht="15" customHeight="1" thickBot="1" x14ac:dyDescent="0.3">
      <c r="A12" s="12">
        <v>10</v>
      </c>
      <c r="B12" s="13" t="s">
        <v>15</v>
      </c>
      <c r="C12" s="14">
        <v>0.54166666666666696</v>
      </c>
      <c r="D12" s="12" t="s">
        <v>48</v>
      </c>
      <c r="E12" s="31" t="str">
        <f>V4</f>
        <v>Táncsics Szfvár</v>
      </c>
      <c r="F12" s="31"/>
      <c r="G12" s="15">
        <v>0</v>
      </c>
      <c r="H12" s="8">
        <v>85</v>
      </c>
      <c r="I12" s="31" t="str">
        <f>V6</f>
        <v>Vitéz János Egom</v>
      </c>
      <c r="J12" s="32"/>
      <c r="K12" t="s">
        <v>49</v>
      </c>
      <c r="U12" s="2"/>
      <c r="V12" s="10"/>
      <c r="W12" s="11"/>
      <c r="X12" s="11"/>
      <c r="Y12" s="11"/>
      <c r="Z12" s="11"/>
      <c r="AA12" s="11"/>
      <c r="AB12" s="11"/>
      <c r="AH12" s="3"/>
    </row>
    <row r="13" spans="1:41" ht="15" customHeight="1" x14ac:dyDescent="0.25">
      <c r="A13" s="33" t="s">
        <v>16</v>
      </c>
      <c r="B13" s="34"/>
      <c r="C13" s="34"/>
      <c r="D13" s="34"/>
      <c r="E13" s="34"/>
      <c r="F13" s="34"/>
      <c r="G13" s="75" t="str">
        <f>L3</f>
        <v>Vitéz János Egom</v>
      </c>
      <c r="H13" s="76"/>
      <c r="I13" s="76"/>
      <c r="J13" s="77"/>
      <c r="U13" s="2"/>
      <c r="V13" s="10"/>
      <c r="W13" s="11"/>
      <c r="X13" s="11"/>
      <c r="Y13" s="11"/>
      <c r="Z13" s="11"/>
      <c r="AA13" s="11"/>
      <c r="AB13" s="11"/>
    </row>
    <row r="14" spans="1:41" ht="15.75" thickBot="1" x14ac:dyDescent="0.3">
      <c r="A14" s="35"/>
      <c r="B14" s="36"/>
      <c r="C14" s="36"/>
      <c r="D14" s="36"/>
      <c r="E14" s="36"/>
      <c r="F14" s="36"/>
      <c r="G14" s="78"/>
      <c r="H14" s="79"/>
      <c r="I14" s="79"/>
      <c r="J14" s="80"/>
    </row>
    <row r="15" spans="1:41" ht="1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41" ht="1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20"/>
      <c r="B17" s="21"/>
      <c r="C17" s="22"/>
      <c r="D17" s="20"/>
      <c r="E17" s="43"/>
      <c r="F17" s="43"/>
      <c r="G17" s="20"/>
      <c r="H17" s="20"/>
      <c r="I17" s="43"/>
      <c r="J17" s="43"/>
    </row>
  </sheetData>
  <mergeCells count="30">
    <mergeCell ref="AL1:AM1"/>
    <mergeCell ref="A1:J2"/>
    <mergeCell ref="K1:K2"/>
    <mergeCell ref="AF1:AG1"/>
    <mergeCell ref="AH1:AI1"/>
    <mergeCell ref="AJ1:AK1"/>
    <mergeCell ref="E3:F3"/>
    <mergeCell ref="I3:J3"/>
    <mergeCell ref="E4:F4"/>
    <mergeCell ref="I4:J4"/>
    <mergeCell ref="E5:F5"/>
    <mergeCell ref="I5:J5"/>
    <mergeCell ref="E6:F6"/>
    <mergeCell ref="I6:J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A13:F14"/>
    <mergeCell ref="G13:J14"/>
    <mergeCell ref="E17:F17"/>
    <mergeCell ref="I17:J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19"/>
  <sheetViews>
    <sheetView workbookViewId="0">
      <selection activeCell="K8" sqref="K8"/>
    </sheetView>
  </sheetViews>
  <sheetFormatPr defaultColWidth="8.85546875" defaultRowHeight="15" x14ac:dyDescent="0.25"/>
  <cols>
    <col min="1" max="1" width="2" bestFit="1" customWidth="1"/>
    <col min="2" max="2" width="24" bestFit="1" customWidth="1"/>
    <col min="3" max="3" width="5.42578125" bestFit="1" customWidth="1"/>
    <col min="4" max="4" width="10.85546875" bestFit="1" customWidth="1"/>
    <col min="7" max="8" width="3.7109375" customWidth="1"/>
    <col min="11" max="11" width="11.5703125" bestFit="1" customWidth="1"/>
    <col min="12" max="12" width="20.140625" bestFit="1" customWidth="1"/>
    <col min="13" max="13" width="3.42578125" bestFit="1" customWidth="1"/>
    <col min="14" max="15" width="2.28515625" bestFit="1" customWidth="1"/>
    <col min="16" max="16" width="4" bestFit="1" customWidth="1"/>
    <col min="17" max="17" width="3" bestFit="1" customWidth="1"/>
    <col min="18" max="18" width="3.7109375" bestFit="1" customWidth="1"/>
    <col min="19" max="19" width="4" bestFit="1" customWidth="1"/>
    <col min="22" max="22" width="13.5703125" bestFit="1" customWidth="1"/>
    <col min="29" max="29" width="11" bestFit="1" customWidth="1"/>
    <col min="32" max="32" width="9.42578125" bestFit="1" customWidth="1"/>
    <col min="33" max="33" width="4.7109375" customWidth="1"/>
    <col min="34" max="34" width="10.7109375" bestFit="1" customWidth="1"/>
    <col min="35" max="35" width="3.28515625" customWidth="1"/>
    <col min="36" max="36" width="10.7109375" bestFit="1" customWidth="1"/>
    <col min="37" max="37" width="3" bestFit="1" customWidth="1"/>
    <col min="38" max="38" width="10.7109375" bestFit="1" customWidth="1"/>
    <col min="39" max="39" width="4.140625" customWidth="1"/>
    <col min="40" max="41" width="15.140625" bestFit="1" customWidth="1"/>
  </cols>
  <sheetData>
    <row r="1" spans="1:41" x14ac:dyDescent="0.25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5"/>
      <c r="K1" s="60" t="s">
        <v>0</v>
      </c>
      <c r="AF1" s="61" t="s">
        <v>1</v>
      </c>
      <c r="AG1" s="61"/>
      <c r="AH1" s="61" t="s">
        <v>2</v>
      </c>
      <c r="AI1" s="61"/>
      <c r="AJ1" s="61" t="s">
        <v>1</v>
      </c>
      <c r="AK1" s="61"/>
      <c r="AL1" s="61" t="s">
        <v>2</v>
      </c>
      <c r="AM1" s="61"/>
    </row>
    <row r="2" spans="1:41" x14ac:dyDescent="0.25">
      <c r="A2" s="64"/>
      <c r="B2" s="64"/>
      <c r="C2" s="64"/>
      <c r="D2" s="64"/>
      <c r="E2" s="64"/>
      <c r="F2" s="64"/>
      <c r="G2" s="64"/>
      <c r="H2" s="64"/>
      <c r="I2" s="64"/>
      <c r="J2" s="65"/>
      <c r="K2" s="60"/>
      <c r="L2" s="1" t="s">
        <v>22</v>
      </c>
      <c r="M2" s="1" t="s">
        <v>4</v>
      </c>
      <c r="N2" s="1" t="s">
        <v>5</v>
      </c>
      <c r="O2" s="1" t="s">
        <v>6</v>
      </c>
      <c r="P2" s="1"/>
      <c r="Q2" s="1"/>
      <c r="R2" s="1"/>
      <c r="S2" s="1" t="s">
        <v>7</v>
      </c>
      <c r="U2" s="2" t="s">
        <v>8</v>
      </c>
      <c r="V2" s="2"/>
      <c r="W2" s="2" t="s">
        <v>9</v>
      </c>
      <c r="X2" s="2" t="s">
        <v>10</v>
      </c>
      <c r="Y2" s="2" t="s">
        <v>11</v>
      </c>
      <c r="Z2" s="2" t="s">
        <v>12</v>
      </c>
      <c r="AA2" s="2" t="s">
        <v>13</v>
      </c>
      <c r="AB2" s="2" t="s">
        <v>7</v>
      </c>
      <c r="AC2" s="2" t="s">
        <v>14</v>
      </c>
      <c r="AF2" s="2" t="str">
        <f t="shared" ref="AF2:AF7" si="0">E3</f>
        <v>Mátyás Király kmét</v>
      </c>
      <c r="AG2">
        <f t="shared" ref="AG2:AG7" si="1">G3</f>
        <v>0</v>
      </c>
      <c r="AH2" s="3" t="str">
        <f t="shared" ref="AH2:AH7" si="2">E3</f>
        <v>Mátyás Király kmét</v>
      </c>
      <c r="AI2">
        <f t="shared" ref="AI2:AJ7" si="3">H3</f>
        <v>50</v>
      </c>
      <c r="AJ2" s="3" t="str">
        <f t="shared" si="3"/>
        <v>Vitéz J Egom</v>
      </c>
      <c r="AK2">
        <f t="shared" ref="AK2:AL7" si="4">H3</f>
        <v>50</v>
      </c>
      <c r="AL2" s="3" t="str">
        <f t="shared" si="4"/>
        <v>Vitéz J Egom</v>
      </c>
      <c r="AM2">
        <f t="shared" ref="AM2:AM7" si="5">G3</f>
        <v>0</v>
      </c>
      <c r="AN2" t="str">
        <f t="shared" ref="AN2:AN7" si="6">IF(G3="","",IF(H3="","",IF(G3&gt;H3,CONCATENATE(E3,"_win"),IF(G3&lt;H3,CONCATENATE(E3,"_lose"),CONCATENATE(E3,"_draw")))))</f>
        <v>Mátyás Király kmét_lose</v>
      </c>
      <c r="AO2" t="str">
        <f t="shared" ref="AO2:AO7" si="7">IF(G3="","",IF(H3="","",IF(G3&gt;H3,CONCATENATE(I3,"_lose"),IF(G3&lt;H3,CONCATENATE(I3,"_win"),CONCATENATE(I3,"_draw")))))</f>
        <v>Vitéz J Egom_win</v>
      </c>
    </row>
    <row r="3" spans="1:41" x14ac:dyDescent="0.25">
      <c r="A3" s="12">
        <v>1</v>
      </c>
      <c r="B3" s="13" t="s">
        <v>15</v>
      </c>
      <c r="C3" s="14">
        <v>0.41666666666666669</v>
      </c>
      <c r="D3" s="12" t="s">
        <v>50</v>
      </c>
      <c r="E3" s="50" t="str">
        <f>V3</f>
        <v>Mátyás Király kmét</v>
      </c>
      <c r="F3" s="50"/>
      <c r="G3" s="28">
        <v>0</v>
      </c>
      <c r="H3" s="28">
        <v>50</v>
      </c>
      <c r="I3" s="66" t="str">
        <f>V4</f>
        <v>Vitéz J Egom</v>
      </c>
      <c r="J3" s="67"/>
      <c r="K3" t="s">
        <v>51</v>
      </c>
      <c r="L3" s="9" t="str">
        <f>VLOOKUP(1,$U$3:$AB$5,2,FALSE)</f>
        <v>Vitéz J Egom</v>
      </c>
      <c r="M3" s="9">
        <f>VLOOKUP(1,$U$3:$AB$5,3,FALSE)</f>
        <v>2</v>
      </c>
      <c r="N3" s="9">
        <f>VLOOKUP(1,$U$3:$AB$5,4,FALSE)</f>
        <v>0</v>
      </c>
      <c r="O3" s="9">
        <f>VLOOKUP(1,$U$3:$AB$5,5,FALSE)</f>
        <v>0</v>
      </c>
      <c r="P3" s="9">
        <f>VLOOKUP(1,$U$3:$AB$5,6,FALSE)</f>
        <v>95</v>
      </c>
      <c r="Q3" s="9">
        <f>VLOOKUP(1,$U$3:$AB$5,7,FALSE)</f>
        <v>5</v>
      </c>
      <c r="R3" s="9">
        <f>P3-Q3</f>
        <v>90</v>
      </c>
      <c r="S3" s="9">
        <f>VLOOKUP(1,$U$3:$AB$5,8,FALSE)</f>
        <v>8</v>
      </c>
      <c r="U3" s="2">
        <f>IF(AC3&lt;AC3,1,0)+IF(AC3&lt;AC4,1,0)+IF(AC3&lt;AC5,1,0)+1</f>
        <v>3</v>
      </c>
      <c r="V3" s="10" t="s">
        <v>41</v>
      </c>
      <c r="W3" s="11">
        <f>COUNTIF($AN$2:$AO$7,CONCATENATE(V3,"_win"))</f>
        <v>0</v>
      </c>
      <c r="X3" s="11">
        <f>COUNTIF($AN$2:$AO$7,CONCATENATE(V3,"_draw"))</f>
        <v>0</v>
      </c>
      <c r="Y3" s="11">
        <f>COUNTIF($AN$2:$AO$7,CONCATENATE(V3,"_lose"))</f>
        <v>2</v>
      </c>
      <c r="Z3" s="11">
        <f>SUMIF($AJ$2:$AJ$7,CONCATENATE("=",V3),$AK$2:$AK$7)+SUMIF($AF$2:$AF$7,CONCATENATE("=",V3),$AG$2:$AG$7)</f>
        <v>0</v>
      </c>
      <c r="AA3" s="11">
        <f>SUMIF($AL$2:$AL$7,CONCATENATE("=",V3),$AM$2:$AM$7)+SUMIF($AH$2:$AH$7,CONCATENATE("=",V3),$AI$2:$AI$7)</f>
        <v>90</v>
      </c>
      <c r="AB3" s="11">
        <f>W3*4+X3*2</f>
        <v>0</v>
      </c>
      <c r="AC3">
        <f>0.5+Z3+(Z3-AA3)*100+W3*1000+AB3*10000000</f>
        <v>-8999.5</v>
      </c>
      <c r="AF3" s="2" t="str">
        <f t="shared" si="0"/>
        <v>Tabán Szeged</v>
      </c>
      <c r="AG3">
        <f t="shared" si="1"/>
        <v>30</v>
      </c>
      <c r="AH3" s="3" t="str">
        <f t="shared" si="2"/>
        <v>Tabán Szeged</v>
      </c>
      <c r="AI3">
        <f t="shared" si="3"/>
        <v>5</v>
      </c>
      <c r="AJ3" s="3" t="str">
        <f t="shared" si="3"/>
        <v>Nemeskócsag Pákozd</v>
      </c>
      <c r="AK3">
        <f t="shared" si="4"/>
        <v>5</v>
      </c>
      <c r="AL3" s="3" t="str">
        <f t="shared" si="4"/>
        <v>Nemeskócsag Pákozd</v>
      </c>
      <c r="AM3">
        <f t="shared" si="5"/>
        <v>30</v>
      </c>
      <c r="AN3" t="str">
        <f t="shared" si="6"/>
        <v>Tabán Szeged_win</v>
      </c>
      <c r="AO3" t="str">
        <f t="shared" si="7"/>
        <v>Nemeskócsag Pákozd_lose</v>
      </c>
    </row>
    <row r="4" spans="1:41" x14ac:dyDescent="0.25">
      <c r="A4" s="12">
        <v>2</v>
      </c>
      <c r="B4" s="13" t="s">
        <v>15</v>
      </c>
      <c r="C4" s="14">
        <v>0.47916666666666669</v>
      </c>
      <c r="D4" s="12" t="s">
        <v>50</v>
      </c>
      <c r="E4" s="50" t="str">
        <f>V11</f>
        <v>Tabán Szeged</v>
      </c>
      <c r="F4" s="50"/>
      <c r="G4" s="28">
        <v>30</v>
      </c>
      <c r="H4" s="28">
        <v>5</v>
      </c>
      <c r="I4" s="48" t="str">
        <f>V12</f>
        <v>Nemeskócsag Pákozd</v>
      </c>
      <c r="J4" s="49"/>
      <c r="K4" t="s">
        <v>51</v>
      </c>
      <c r="L4" s="29" t="str">
        <f>VLOOKUP(2,$U$3:$AB$5,2,FALSE)</f>
        <v>Bólyai Érd</v>
      </c>
      <c r="M4" s="9">
        <f>VLOOKUP(2,$U$3:$AB$5,3,FALSE)</f>
        <v>1</v>
      </c>
      <c r="N4" s="9">
        <f>VLOOKUP(2,$U$3:$AB$5,4,FALSE)</f>
        <v>0</v>
      </c>
      <c r="O4" s="9">
        <f>VLOOKUP(2,$U$3:$AB$5,5,FALSE)</f>
        <v>1</v>
      </c>
      <c r="P4" s="9">
        <f>VLOOKUP(2,$U$3:$AB$5,6,FALSE)</f>
        <v>45</v>
      </c>
      <c r="Q4" s="9">
        <f>VLOOKUP(2,$U$3:$AB$5,7,FALSE)</f>
        <v>45</v>
      </c>
      <c r="R4" s="9">
        <f>P4-Q4</f>
        <v>0</v>
      </c>
      <c r="S4" s="9">
        <f>VLOOKUP(2,$U$3:$AB$5,8,FALSE)</f>
        <v>4</v>
      </c>
      <c r="U4" s="2">
        <f>IF(AC4&lt;AC4,1,0)+IF(AC4&lt;AC5,1,0)+IF(AC4&lt;AC3,1,0)+1</f>
        <v>1</v>
      </c>
      <c r="V4" s="10" t="s">
        <v>42</v>
      </c>
      <c r="W4" s="11">
        <f>COUNTIF($AN$2:$AO$7,CONCATENATE(V4,"_win"))</f>
        <v>2</v>
      </c>
      <c r="X4" s="11">
        <f>COUNTIF($AN$2:$AO$7,CONCATENATE(V4,"_draw"))</f>
        <v>0</v>
      </c>
      <c r="Y4" s="11">
        <f>COUNTIF($AN$2:$AO$7,CONCATENATE(V4,"_lose"))</f>
        <v>0</v>
      </c>
      <c r="Z4" s="11">
        <f>SUMIF($AJ$2:$AJ$7,CONCATENATE("=",V4),$AK$2:$AK$7)+SUMIF($AF$2:$AF$7,CONCATENATE("=",V4),$AG$2:$AG$7)</f>
        <v>95</v>
      </c>
      <c r="AA4" s="11">
        <f>SUMIF($AL$2:$AL$7,CONCATENATE("=",V4),$AM$2:$AM$7)+SUMIF($AH$2:$AH$7,CONCATENATE("=",V4),$AI$2:$AI$7)</f>
        <v>5</v>
      </c>
      <c r="AB4" s="11">
        <f>W4*4+X4*2</f>
        <v>8</v>
      </c>
      <c r="AC4">
        <f>0.4+Z4+(Z4-AA4)*100+W4*1000+AB4*10000000</f>
        <v>80011095.400000006</v>
      </c>
      <c r="AF4" s="2" t="str">
        <f t="shared" si="0"/>
        <v>Bólyai Érd</v>
      </c>
      <c r="AG4">
        <f t="shared" si="1"/>
        <v>40</v>
      </c>
      <c r="AH4" s="3" t="str">
        <f t="shared" si="2"/>
        <v>Bólyai Érd</v>
      </c>
      <c r="AI4">
        <f t="shared" si="3"/>
        <v>0</v>
      </c>
      <c r="AJ4" s="3" t="str">
        <f t="shared" si="3"/>
        <v>Mátyás Király kmét</v>
      </c>
      <c r="AK4">
        <f t="shared" si="4"/>
        <v>0</v>
      </c>
      <c r="AL4" s="3" t="str">
        <f t="shared" si="4"/>
        <v>Mátyás Király kmét</v>
      </c>
      <c r="AM4">
        <f t="shared" si="5"/>
        <v>40</v>
      </c>
      <c r="AN4" t="str">
        <f t="shared" si="6"/>
        <v>Bólyai Érd_win</v>
      </c>
      <c r="AO4" t="str">
        <f t="shared" si="7"/>
        <v>Mátyás Király kmét_lose</v>
      </c>
    </row>
    <row r="5" spans="1:41" x14ac:dyDescent="0.25">
      <c r="A5" s="12">
        <v>3</v>
      </c>
      <c r="B5" s="13" t="s">
        <v>15</v>
      </c>
      <c r="C5" s="14">
        <v>0.49305555555555558</v>
      </c>
      <c r="D5" s="12" t="s">
        <v>50</v>
      </c>
      <c r="E5" s="47" t="str">
        <f>V5</f>
        <v>Bólyai Érd</v>
      </c>
      <c r="F5" s="47"/>
      <c r="G5" s="28">
        <v>40</v>
      </c>
      <c r="H5" s="28">
        <v>0</v>
      </c>
      <c r="I5" s="48" t="str">
        <f>V3</f>
        <v>Mátyás Király kmét</v>
      </c>
      <c r="J5" s="49"/>
      <c r="K5" t="s">
        <v>51</v>
      </c>
      <c r="L5" s="9" t="str">
        <f>VLOOKUP(3,$U$3:$AB$5,2,FALSE)</f>
        <v>Mátyás Király kmét</v>
      </c>
      <c r="M5" s="9">
        <f>VLOOKUP(3,$U$3:$AB$5,3,FALSE)</f>
        <v>0</v>
      </c>
      <c r="N5" s="9">
        <f>VLOOKUP(3,$U$3:$AB$5,4,FALSE)</f>
        <v>0</v>
      </c>
      <c r="O5" s="9">
        <f>VLOOKUP(3,$U$3:$AB$5,5,FALSE)</f>
        <v>2</v>
      </c>
      <c r="P5" s="9">
        <f>VLOOKUP(3,$U$3:$AB$5,6,FALSE)</f>
        <v>0</v>
      </c>
      <c r="Q5" s="9">
        <f>VLOOKUP(3,$U$3:$AB$5,7,FALSE)</f>
        <v>90</v>
      </c>
      <c r="R5" s="9">
        <f>P5-Q5</f>
        <v>-90</v>
      </c>
      <c r="S5" s="9">
        <f>VLOOKUP(3,$U$3:$AB$5,8,FALSE)</f>
        <v>0</v>
      </c>
      <c r="U5" s="2">
        <f>IF(AC5&lt;AC5,1,0)+IF(AC5&lt;AC3,1,0)+IF(AC5&lt;AC4,1,0)+1</f>
        <v>2</v>
      </c>
      <c r="V5" s="10" t="s">
        <v>38</v>
      </c>
      <c r="W5" s="11">
        <f>COUNTIF($AN$2:$AO$7,CONCATENATE(V5,"_win"))</f>
        <v>1</v>
      </c>
      <c r="X5" s="11">
        <f>COUNTIF($AN$2:$AO$7,CONCATENATE(V5,"_draw"))</f>
        <v>0</v>
      </c>
      <c r="Y5" s="11">
        <f>COUNTIF($AN$2:$AO$7,CONCATENATE(V5,"_lose"))</f>
        <v>1</v>
      </c>
      <c r="Z5" s="11">
        <f>SUMIF($AJ$2:$AJ$7,CONCATENATE("=",V5),$AK$2:$AK$7)+SUMIF($AF$2:$AF$7,CONCATENATE("=",V5),$AG$2:$AG$7)</f>
        <v>45</v>
      </c>
      <c r="AA5" s="11">
        <f>SUMIF($AL$2:$AL$7,CONCATENATE("=",V5),$AM$2:$AM$7)+SUMIF($AH$2:$AH$7,CONCATENATE("=",V5),$AI$2:$AI$7)</f>
        <v>45</v>
      </c>
      <c r="AB5" s="11">
        <f>W5*4+X5*2</f>
        <v>4</v>
      </c>
      <c r="AC5">
        <f>0.3+Z5+(Z5-AA5)*100+W5*1000+AB5*10000000</f>
        <v>40001045.299999997</v>
      </c>
      <c r="AF5" s="2" t="str">
        <f t="shared" si="0"/>
        <v>Tabán Szeged</v>
      </c>
      <c r="AG5">
        <f t="shared" si="1"/>
        <v>40</v>
      </c>
      <c r="AH5" s="3" t="str">
        <f t="shared" si="2"/>
        <v>Tabán Szeged</v>
      </c>
      <c r="AI5">
        <f t="shared" si="3"/>
        <v>15</v>
      </c>
      <c r="AJ5" s="3" t="str">
        <f t="shared" si="3"/>
        <v>Zöld Liget Velence</v>
      </c>
      <c r="AK5">
        <f t="shared" si="4"/>
        <v>15</v>
      </c>
      <c r="AL5" s="3" t="str">
        <f t="shared" si="4"/>
        <v>Zöld Liget Velence</v>
      </c>
      <c r="AM5">
        <f t="shared" si="5"/>
        <v>40</v>
      </c>
      <c r="AN5" t="str">
        <f t="shared" si="6"/>
        <v>Tabán Szeged_win</v>
      </c>
      <c r="AO5" t="str">
        <f t="shared" si="7"/>
        <v>Zöld Liget Velence_lose</v>
      </c>
    </row>
    <row r="6" spans="1:41" x14ac:dyDescent="0.25">
      <c r="A6" s="12">
        <v>4</v>
      </c>
      <c r="B6" s="13" t="s">
        <v>15</v>
      </c>
      <c r="C6" s="14">
        <v>0.52083333333333337</v>
      </c>
      <c r="D6" s="12" t="s">
        <v>50</v>
      </c>
      <c r="E6" s="50" t="str">
        <f>V11</f>
        <v>Tabán Szeged</v>
      </c>
      <c r="F6" s="50"/>
      <c r="G6" s="28">
        <v>40</v>
      </c>
      <c r="H6" s="28">
        <v>15</v>
      </c>
      <c r="I6" s="48" t="str">
        <f>V13</f>
        <v>Zöld Liget Velence</v>
      </c>
      <c r="J6" s="49"/>
      <c r="K6" t="s">
        <v>54</v>
      </c>
      <c r="L6" s="23"/>
      <c r="M6" s="23"/>
      <c r="N6" s="23"/>
      <c r="O6" s="23"/>
      <c r="P6" s="23"/>
      <c r="Q6" s="23"/>
      <c r="R6" s="23"/>
      <c r="S6" s="23"/>
      <c r="U6" s="2"/>
      <c r="V6" s="10"/>
      <c r="W6" s="11"/>
      <c r="X6" s="11"/>
      <c r="Y6" s="11"/>
      <c r="Z6" s="11"/>
      <c r="AA6" s="11"/>
      <c r="AB6" s="11"/>
      <c r="AF6" s="2" t="str">
        <f t="shared" si="0"/>
        <v>Vitéz J Egom</v>
      </c>
      <c r="AG6">
        <f t="shared" si="1"/>
        <v>45</v>
      </c>
      <c r="AH6" s="3" t="str">
        <f t="shared" si="2"/>
        <v>Vitéz J Egom</v>
      </c>
      <c r="AI6">
        <f t="shared" si="3"/>
        <v>5</v>
      </c>
      <c r="AJ6" s="3" t="str">
        <f t="shared" si="3"/>
        <v>Bólyai Érd</v>
      </c>
      <c r="AK6">
        <f t="shared" si="4"/>
        <v>5</v>
      </c>
      <c r="AL6" s="3" t="str">
        <f t="shared" si="4"/>
        <v>Bólyai Érd</v>
      </c>
      <c r="AM6">
        <f t="shared" si="5"/>
        <v>45</v>
      </c>
      <c r="AN6" t="str">
        <f t="shared" si="6"/>
        <v>Vitéz J Egom_win</v>
      </c>
      <c r="AO6" t="str">
        <f t="shared" si="7"/>
        <v>Bólyai Érd_lose</v>
      </c>
    </row>
    <row r="7" spans="1:41" x14ac:dyDescent="0.25">
      <c r="A7" s="12">
        <v>5</v>
      </c>
      <c r="B7" s="13" t="s">
        <v>15</v>
      </c>
      <c r="C7" s="14">
        <v>0.54861111111111105</v>
      </c>
      <c r="D7" s="12" t="s">
        <v>50</v>
      </c>
      <c r="E7" s="47" t="str">
        <f>V4</f>
        <v>Vitéz J Egom</v>
      </c>
      <c r="F7" s="47"/>
      <c r="G7" s="28">
        <v>45</v>
      </c>
      <c r="H7" s="28">
        <v>5</v>
      </c>
      <c r="I7" s="66" t="str">
        <f>V5</f>
        <v>Bólyai Érd</v>
      </c>
      <c r="J7" s="67"/>
      <c r="K7" t="s">
        <v>54</v>
      </c>
      <c r="L7" s="23"/>
      <c r="M7" s="23"/>
      <c r="N7" s="23"/>
      <c r="O7" s="23"/>
      <c r="P7" s="23"/>
      <c r="Q7" s="23"/>
      <c r="R7" s="23"/>
      <c r="S7" s="23"/>
      <c r="U7" s="2"/>
      <c r="V7" s="10"/>
      <c r="W7" s="11"/>
      <c r="X7" s="11"/>
      <c r="Y7" s="11"/>
      <c r="Z7" s="11"/>
      <c r="AA7" s="11"/>
      <c r="AB7" s="11"/>
      <c r="AF7" s="2" t="str">
        <f t="shared" si="0"/>
        <v>Nemeskócsag Pákozd</v>
      </c>
      <c r="AG7">
        <f t="shared" si="1"/>
        <v>30</v>
      </c>
      <c r="AH7" s="3" t="str">
        <f t="shared" si="2"/>
        <v>Nemeskócsag Pákozd</v>
      </c>
      <c r="AI7">
        <f t="shared" si="3"/>
        <v>20</v>
      </c>
      <c r="AJ7" s="3" t="str">
        <f t="shared" si="3"/>
        <v>Zöld Liget Velence</v>
      </c>
      <c r="AK7">
        <f t="shared" si="4"/>
        <v>20</v>
      </c>
      <c r="AL7" s="3" t="str">
        <f t="shared" si="4"/>
        <v>Zöld Liget Velence</v>
      </c>
      <c r="AM7">
        <f t="shared" si="5"/>
        <v>30</v>
      </c>
      <c r="AN7" t="str">
        <f t="shared" si="6"/>
        <v>Nemeskócsag Pákozd_win</v>
      </c>
      <c r="AO7" t="str">
        <f t="shared" si="7"/>
        <v>Zöld Liget Velence_lose</v>
      </c>
    </row>
    <row r="8" spans="1:41" x14ac:dyDescent="0.25">
      <c r="A8" s="12">
        <v>6</v>
      </c>
      <c r="B8" s="13" t="s">
        <v>15</v>
      </c>
      <c r="C8" s="14">
        <v>0.57638888888888895</v>
      </c>
      <c r="D8" s="12" t="s">
        <v>50</v>
      </c>
      <c r="E8" s="47" t="str">
        <f>V12</f>
        <v>Nemeskócsag Pákozd</v>
      </c>
      <c r="F8" s="47"/>
      <c r="G8" s="28">
        <v>30</v>
      </c>
      <c r="H8" s="28">
        <v>20</v>
      </c>
      <c r="I8" s="48" t="str">
        <f>V13</f>
        <v>Zöld Liget Velence</v>
      </c>
      <c r="J8" s="49"/>
      <c r="K8" t="s">
        <v>54</v>
      </c>
      <c r="L8" s="1" t="s">
        <v>23</v>
      </c>
      <c r="M8" s="1" t="s">
        <v>4</v>
      </c>
      <c r="N8" s="1" t="s">
        <v>5</v>
      </c>
      <c r="O8" s="1" t="s">
        <v>6</v>
      </c>
      <c r="P8" s="1"/>
      <c r="Q8" s="1"/>
      <c r="R8" s="1"/>
      <c r="S8" s="1" t="s">
        <v>7</v>
      </c>
      <c r="U8" s="2"/>
      <c r="V8" s="10"/>
      <c r="W8" s="11"/>
      <c r="X8" s="11"/>
      <c r="Y8" s="11"/>
      <c r="Z8" s="11"/>
      <c r="AA8" s="11"/>
      <c r="AB8" s="11"/>
      <c r="AF8" s="2"/>
    </row>
    <row r="9" spans="1:41" x14ac:dyDescent="0.25">
      <c r="A9" s="64" t="s">
        <v>24</v>
      </c>
      <c r="B9" s="64"/>
      <c r="C9" s="64"/>
      <c r="D9" s="64"/>
      <c r="E9" s="64"/>
      <c r="F9" s="64"/>
      <c r="G9" s="64"/>
      <c r="H9" s="64"/>
      <c r="I9" s="64"/>
      <c r="J9" s="65"/>
      <c r="L9" s="9" t="str">
        <f>VLOOKUP(1,$U$11:$AB$13,2,FALSE)</f>
        <v>Tabán Szeged</v>
      </c>
      <c r="M9" s="9">
        <f>VLOOKUP(1,$U$11:$AB$13,3,FALSE)</f>
        <v>2</v>
      </c>
      <c r="N9" s="9">
        <f>VLOOKUP(1,$U$11:$AB$13,4,FALSE)</f>
        <v>0</v>
      </c>
      <c r="O9" s="9">
        <f>VLOOKUP(1,$U$11:$AB$13,5,FALSE)</f>
        <v>0</v>
      </c>
      <c r="P9" s="9">
        <f>VLOOKUP(1,$U$11:$AB$13,6,FALSE)</f>
        <v>70</v>
      </c>
      <c r="Q9" s="9">
        <f>VLOOKUP(1,$U$11:$AB$13,7,FALSE)</f>
        <v>20</v>
      </c>
      <c r="R9" s="9">
        <f>P9-Q9</f>
        <v>50</v>
      </c>
      <c r="S9" s="9">
        <f>VLOOKUP(1,$U$11:$AB$13,8,FALSE)</f>
        <v>8</v>
      </c>
      <c r="U9" s="2"/>
      <c r="V9" s="10"/>
      <c r="W9" s="11"/>
      <c r="X9" s="11"/>
      <c r="Y9" s="11"/>
      <c r="Z9" s="11"/>
      <c r="AA9" s="11"/>
      <c r="AB9" s="11"/>
      <c r="AF9" s="2"/>
    </row>
    <row r="10" spans="1:4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5"/>
      <c r="L10" s="9" t="str">
        <f>VLOOKUP(2,$U$11:$AB$13,2,FALSE)</f>
        <v>Nemeskócsag Pákozd</v>
      </c>
      <c r="M10" s="9">
        <f>VLOOKUP(2,$U$11:$AB$13,3,FALSE)</f>
        <v>1</v>
      </c>
      <c r="N10" s="9">
        <f>VLOOKUP(2,$U$11:$AB$13,4,FALSE)</f>
        <v>0</v>
      </c>
      <c r="O10" s="9">
        <f>VLOOKUP(2,$U$11:$AB$13,5,FALSE)</f>
        <v>1</v>
      </c>
      <c r="P10" s="9">
        <f>VLOOKUP(2,$U$11:$AB$13,6,FALSE)</f>
        <v>35</v>
      </c>
      <c r="Q10" s="9">
        <f>VLOOKUP(2,$U$11:$AB$13,7,FALSE)</f>
        <v>50</v>
      </c>
      <c r="R10" s="9">
        <f>P10-Q10</f>
        <v>-15</v>
      </c>
      <c r="S10" s="9">
        <f>VLOOKUP(2,$U$11:$AB$13,8,FALSE)</f>
        <v>4</v>
      </c>
      <c r="U10" s="2"/>
      <c r="V10" s="10"/>
      <c r="W10" s="11"/>
      <c r="X10" s="11"/>
      <c r="Y10" s="11"/>
      <c r="Z10" s="11"/>
      <c r="AA10" s="11"/>
      <c r="AB10" s="11"/>
    </row>
    <row r="11" spans="1:41" x14ac:dyDescent="0.25">
      <c r="A11" s="24">
        <v>7</v>
      </c>
      <c r="B11" s="25" t="s">
        <v>15</v>
      </c>
      <c r="C11" s="26">
        <v>0.60416666666666663</v>
      </c>
      <c r="D11" s="24" t="s">
        <v>50</v>
      </c>
      <c r="E11" s="62" t="str">
        <f>L11</f>
        <v>Zöld Liget Velence</v>
      </c>
      <c r="F11" s="62"/>
      <c r="G11" s="28">
        <v>0</v>
      </c>
      <c r="H11" s="28">
        <v>26</v>
      </c>
      <c r="I11" s="62" t="str">
        <f>L5</f>
        <v>Mátyás Király kmét</v>
      </c>
      <c r="J11" s="63"/>
      <c r="K11" t="s">
        <v>54</v>
      </c>
      <c r="L11" s="9" t="str">
        <f>VLOOKUP(3,$U$11:$AB$13,2,FALSE)</f>
        <v>Zöld Liget Velence</v>
      </c>
      <c r="M11" s="9">
        <f>VLOOKUP(3,$U$11:$AB$13,3,FALSE)</f>
        <v>0</v>
      </c>
      <c r="N11" s="9">
        <f>VLOOKUP(3,$U$11:$AB$13,4,FALSE)</f>
        <v>0</v>
      </c>
      <c r="O11" s="9">
        <f>VLOOKUP(3,$U$11:$AB$13,5,FALSE)</f>
        <v>2</v>
      </c>
      <c r="P11" s="9">
        <f>VLOOKUP(3,$U$11:$AB$13,6,FALSE)</f>
        <v>35</v>
      </c>
      <c r="Q11" s="9">
        <f>VLOOKUP(3,$U$11:$AB$13,7,FALSE)</f>
        <v>70</v>
      </c>
      <c r="R11" s="9">
        <f>P11-Q11</f>
        <v>-35</v>
      </c>
      <c r="S11" s="9">
        <f>VLOOKUP(3,$U$11:$AB$13,8,FALSE)</f>
        <v>0</v>
      </c>
      <c r="U11" s="2">
        <f>IF(AC11&lt;AC11,1,0)+IF(AC11&lt;AC12,1,0)+IF(AC11&lt;AC13,1,0)+1</f>
        <v>1</v>
      </c>
      <c r="V11" s="10" t="s">
        <v>43</v>
      </c>
      <c r="W11" s="11">
        <f>COUNTIF($AN$2:$AO$7,CONCATENATE(V11,"_win"))</f>
        <v>2</v>
      </c>
      <c r="X11" s="11">
        <f>COUNTIF($AN$2:$AO$7,CONCATENATE(V11,"_draw"))</f>
        <v>0</v>
      </c>
      <c r="Y11" s="11">
        <f>COUNTIF($AN$2:$AO$7,CONCATENATE(V11,"_lose"))</f>
        <v>0</v>
      </c>
      <c r="Z11" s="11">
        <f>SUMIF($AJ$2:$AJ$7,CONCATENATE("=",V11),$AK$2:$AK$7)+SUMIF($AF$2:$AF$7,CONCATENATE("=",V11),$AG$2:$AG$7)</f>
        <v>70</v>
      </c>
      <c r="AA11" s="11">
        <f>SUMIF($AL$2:$AL$7,CONCATENATE("=",V11),$AM$2:$AM$7)+SUMIF($AH$2:$AH$7,CONCATENATE("=",V11),$AI$2:$AI$7)</f>
        <v>20</v>
      </c>
      <c r="AB11" s="11">
        <f>W11*4+X11*2</f>
        <v>8</v>
      </c>
      <c r="AC11">
        <f>0.5+Z11+(Z11-AA11)*100+W11*1000+AB11*10000000</f>
        <v>80007070.5</v>
      </c>
    </row>
    <row r="12" spans="1:41" x14ac:dyDescent="0.25">
      <c r="A12" s="64" t="s">
        <v>25</v>
      </c>
      <c r="B12" s="64"/>
      <c r="C12" s="64"/>
      <c r="D12" s="64"/>
      <c r="E12" s="64"/>
      <c r="F12" s="64"/>
      <c r="G12" s="64"/>
      <c r="H12" s="64"/>
      <c r="I12" s="64"/>
      <c r="J12" s="65"/>
      <c r="U12" s="2">
        <f>IF(AC12&lt;AC12,1,0)+IF(AC12&lt;AC13,1,0)+IF(AC12&lt;AC11,1,0)+1</f>
        <v>2</v>
      </c>
      <c r="V12" s="10" t="s">
        <v>44</v>
      </c>
      <c r="W12" s="11">
        <f>COUNTIF($AN$2:$AO$7,CONCATENATE(V12,"_win"))</f>
        <v>1</v>
      </c>
      <c r="X12" s="11">
        <f>COUNTIF($AN$2:$AO$7,CONCATENATE(V12,"_draw"))</f>
        <v>0</v>
      </c>
      <c r="Y12" s="11">
        <f>COUNTIF($AN$2:$AO$7,CONCATENATE(V12,"_lose"))</f>
        <v>1</v>
      </c>
      <c r="Z12" s="11">
        <f>SUMIF($AJ$2:$AJ$7,CONCATENATE("=",V12),$AK$2:$AK$7)+SUMIF($AF$2:$AF$7,CONCATENATE("=",V12),$AG$2:$AG$7)</f>
        <v>35</v>
      </c>
      <c r="AA12" s="11">
        <f>SUMIF($AL$2:$AL$7,CONCATENATE("=",V12),$AM$2:$AM$7)+SUMIF($AH$2:$AH$7,CONCATENATE("=",V12),$AI$2:$AI$7)</f>
        <v>50</v>
      </c>
      <c r="AB12" s="11">
        <f>W12*4+X12*2</f>
        <v>4</v>
      </c>
      <c r="AC12">
        <f>0.4+Z12+(Z12-AA12)*100+W12*1000+AB12*10000000</f>
        <v>39999535.399999999</v>
      </c>
    </row>
    <row r="13" spans="1:4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5"/>
      <c r="U13" s="2">
        <f>IF(AC13&lt;AC13,1,0)+IF(AC13&lt;AC11,1,0)+IF(AC13&lt;AC12,1,0)+1</f>
        <v>3</v>
      </c>
      <c r="V13" s="10" t="s">
        <v>45</v>
      </c>
      <c r="W13" s="11">
        <f>COUNTIF($AN$2:$AO$7,CONCATENATE(V13,"_win"))</f>
        <v>0</v>
      </c>
      <c r="X13" s="11">
        <f>COUNTIF($AN$2:$AO$7,CONCATENATE(V13,"_draw"))</f>
        <v>0</v>
      </c>
      <c r="Y13" s="11">
        <f>COUNTIF($AN$2:$AO$7,CONCATENATE(V13,"_lose"))</f>
        <v>2</v>
      </c>
      <c r="Z13" s="11">
        <f>SUMIF($AJ$2:$AJ$7,CONCATENATE("=",V13),$AK$2:$AK$7)+SUMIF($AF$2:$AF$7,CONCATENATE("=",V13),$AG$2:$AG$7)</f>
        <v>35</v>
      </c>
      <c r="AA13" s="11">
        <f>SUMIF($AL$2:$AL$7,CONCATENATE("=",V13),$AM$2:$AM$7)+SUMIF($AH$2:$AH$7,CONCATENATE("=",V13),$AI$2:$AI$7)</f>
        <v>70</v>
      </c>
      <c r="AB13" s="11">
        <f>W13*4+X13*2</f>
        <v>0</v>
      </c>
      <c r="AC13">
        <f>0.3+Z13+(Z13-AA13)*100+W13*1000+AB13*10000000</f>
        <v>-3464.7</v>
      </c>
    </row>
    <row r="14" spans="1:41" x14ac:dyDescent="0.25">
      <c r="A14" s="24">
        <v>8</v>
      </c>
      <c r="B14" s="25" t="s">
        <v>15</v>
      </c>
      <c r="C14" s="26">
        <v>0.61805555555555558</v>
      </c>
      <c r="D14" s="24" t="s">
        <v>50</v>
      </c>
      <c r="E14" s="62" t="str">
        <f>L10</f>
        <v>Nemeskócsag Pákozd</v>
      </c>
      <c r="F14" s="62"/>
      <c r="G14" s="28">
        <v>0</v>
      </c>
      <c r="H14" s="28">
        <v>45</v>
      </c>
      <c r="I14" s="62" t="str">
        <f>L4</f>
        <v>Bólyai Érd</v>
      </c>
      <c r="J14" s="63"/>
      <c r="K14" t="s">
        <v>54</v>
      </c>
    </row>
    <row r="15" spans="1:41" x14ac:dyDescent="0.25">
      <c r="A15" s="64" t="s">
        <v>26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4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5"/>
    </row>
    <row r="17" spans="1:11" ht="15.75" thickBot="1" x14ac:dyDescent="0.3">
      <c r="A17" s="24">
        <v>9</v>
      </c>
      <c r="B17" s="25" t="s">
        <v>15</v>
      </c>
      <c r="C17" s="26">
        <v>0.63194444444444442</v>
      </c>
      <c r="D17" s="24" t="s">
        <v>50</v>
      </c>
      <c r="E17" s="62" t="str">
        <f>L9</f>
        <v>Tabán Szeged</v>
      </c>
      <c r="F17" s="62"/>
      <c r="G17" s="27">
        <v>10</v>
      </c>
      <c r="H17" s="27">
        <v>55</v>
      </c>
      <c r="I17" s="62" t="str">
        <f>L3</f>
        <v>Vitéz J Egom</v>
      </c>
      <c r="J17" s="63"/>
      <c r="K17" t="s">
        <v>54</v>
      </c>
    </row>
    <row r="18" spans="1:11" x14ac:dyDescent="0.25">
      <c r="A18" s="68" t="s">
        <v>16</v>
      </c>
      <c r="B18" s="68"/>
      <c r="C18" s="68"/>
      <c r="D18" s="68"/>
      <c r="E18" s="68"/>
      <c r="F18" s="68"/>
      <c r="G18" s="37" t="str">
        <f>IF(G17&gt;H17,E17,I17)</f>
        <v>Vitéz J Egom</v>
      </c>
      <c r="H18" s="38"/>
      <c r="I18" s="38"/>
      <c r="J18" s="39"/>
    </row>
    <row r="19" spans="1:11" ht="15.75" thickBot="1" x14ac:dyDescent="0.3">
      <c r="A19" s="69"/>
      <c r="B19" s="69"/>
      <c r="C19" s="69"/>
      <c r="D19" s="69"/>
      <c r="E19" s="69"/>
      <c r="F19" s="69"/>
      <c r="G19" s="40"/>
      <c r="H19" s="41"/>
      <c r="I19" s="41"/>
      <c r="J19" s="42"/>
    </row>
  </sheetData>
  <mergeCells count="29">
    <mergeCell ref="AL1:AM1"/>
    <mergeCell ref="A1:J2"/>
    <mergeCell ref="K1:K2"/>
    <mergeCell ref="AF1:AG1"/>
    <mergeCell ref="AH1:AI1"/>
    <mergeCell ref="AJ1:AK1"/>
    <mergeCell ref="E3:F3"/>
    <mergeCell ref="I3:J3"/>
    <mergeCell ref="E4:F4"/>
    <mergeCell ref="I4:J4"/>
    <mergeCell ref="E5:F5"/>
    <mergeCell ref="I5:J5"/>
    <mergeCell ref="E6:F6"/>
    <mergeCell ref="I6:J6"/>
    <mergeCell ref="E7:F7"/>
    <mergeCell ref="I7:J7"/>
    <mergeCell ref="E8:F8"/>
    <mergeCell ref="I8:J8"/>
    <mergeCell ref="A9:J10"/>
    <mergeCell ref="E11:F11"/>
    <mergeCell ref="I11:J11"/>
    <mergeCell ref="A12:J13"/>
    <mergeCell ref="E14:F14"/>
    <mergeCell ref="I14:J14"/>
    <mergeCell ref="A15:J16"/>
    <mergeCell ref="E17:F17"/>
    <mergeCell ref="I17:J17"/>
    <mergeCell ref="A18:F19"/>
    <mergeCell ref="G18:J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U10 jó</vt:lpstr>
      <vt:lpstr>U16 jó</vt:lpstr>
      <vt:lpstr>U12 jó</vt:lpstr>
      <vt:lpstr>U14 jó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Balázs</cp:lastModifiedBy>
  <cp:lastPrinted>2016-05-28T08:13:19Z</cp:lastPrinted>
  <dcterms:created xsi:type="dcterms:W3CDTF">2016-05-28T07:19:58Z</dcterms:created>
  <dcterms:modified xsi:type="dcterms:W3CDTF">2016-06-01T08:47:54Z</dcterms:modified>
</cp:coreProperties>
</file>